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0.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https://ampcltd-my.sharepoint.com/personal/c_morris_ampc_com_au/Documents/Desktop/"/>
    </mc:Choice>
  </mc:AlternateContent>
  <xr:revisionPtr revIDLastSave="0" documentId="8_{882DF5AC-3982-4E22-A019-BBF409C905F9}" xr6:coauthVersionLast="47" xr6:coauthVersionMax="47" xr10:uidLastSave="{00000000-0000-0000-0000-000000000000}"/>
  <workbookProtection workbookAlgorithmName="SHA-512" workbookHashValue="SAY5UZ3gFYjblv9U8TVXuPB/BcxWOqy39GOBMwYO925inTMngc3KGBsFxHj4CFdDnSHTDCcTBcuiiV2CD7uuPw==" workbookSaltValue="fqxjV1U4AI8HLl78+q5d3A==" workbookSpinCount="100000" lockStructure="1"/>
  <bookViews>
    <workbookView xWindow="-110" yWindow="-110" windowWidth="22780" windowHeight="14660" activeTab="1" xr2:uid="{B155F195-DC5C-4BD8-A662-961277ACD40B}"/>
  </bookViews>
  <sheets>
    <sheet name="Summary" sheetId="37" r:id="rId1"/>
    <sheet name="Inputs" sheetId="10" r:id="rId2"/>
    <sheet name="Output" sheetId="33" r:id="rId3"/>
    <sheet name="Logic Flowchart" sheetId="34" state="hidden" r:id="rId4"/>
    <sheet name="Logic Flowchart (2)" sheetId="38" state="hidden" r:id="rId5"/>
    <sheet name="Calculations" sheetId="23" state="hidden" r:id="rId6"/>
    <sheet name="Benchmark-Energy" sheetId="6" state="hidden" r:id="rId7"/>
    <sheet name="Benchmark-Water" sheetId="7" state="hidden" r:id="rId8"/>
    <sheet name="Benchmark-Adjustments" sheetId="35" state="hidden" r:id="rId9"/>
    <sheet name="Performance Pyramid" sheetId="36" state="hidden" r:id="rId10"/>
    <sheet name="Opportunity Library" sheetId="22" state="hidden" r:id="rId11"/>
    <sheet name="Opp Library - PT" sheetId="30" state="hidden" r:id="rId12"/>
    <sheet name="Drop-downs" sheetId="29" state="hidden" r:id="rId13"/>
    <sheet name="NGERFactors" sheetId="27" state="hidden" r:id="rId14"/>
  </sheets>
  <definedNames>
    <definedName name="_xlnm._FilterDatabase" localSheetId="10" hidden="1">'Opportunity Library'!$A$22:$AV$91</definedName>
    <definedName name="Biomass_Options">'Drop-downs'!$M$18:$M$28</definedName>
    <definedName name="Facilities_List">'Drop-downs'!$I$18:$I$29</definedName>
    <definedName name="Facility">Inputs!$C$10</definedName>
    <definedName name="Opportunity_Category">'Performance Pyramid'!$C$49:$C$53</definedName>
    <definedName name="Opportunity_Category_Display_Matrix">'Performance Pyramid'!$D$49:$F$53</definedName>
    <definedName name="Performance_Descriptor_List">'Drop-downs'!$G$18:$G$20</definedName>
    <definedName name="_xlnm.Print_Area" localSheetId="2">Output!$A$4:$J$100</definedName>
    <definedName name="_xlnm.Print_Titles" localSheetId="2">Output!$4:$5</definedName>
    <definedName name="Rendering_Options">'Drop-downs'!$K$18:$K$21</definedName>
    <definedName name="RNG_PDF">Output!$A$4:$J$100</definedName>
  </definedNames>
  <calcPr calcId="191029"/>
  <pivotCaches>
    <pivotCache cacheId="0" r:id="rId15"/>
    <pivotCache cacheId="1"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10" l="1"/>
  <c r="J56" i="10" s="1"/>
  <c r="E56" i="10" l="1"/>
  <c r="B24" i="23"/>
  <c r="J24" i="23"/>
  <c r="I56" i="10"/>
  <c r="K24" i="23" s="1"/>
  <c r="C24" i="23"/>
  <c r="C55" i="10"/>
  <c r="E55" i="10" s="1"/>
  <c r="J55" i="10" l="1"/>
  <c r="N24" i="23"/>
  <c r="L37" i="23"/>
  <c r="K56" i="10" l="1"/>
  <c r="M24" i="23" s="1"/>
  <c r="L24" i="23"/>
  <c r="E24" i="23"/>
  <c r="L56" i="10"/>
  <c r="I64" i="22"/>
  <c r="J64" i="22"/>
  <c r="D11" i="10" l="1"/>
  <c r="F176" i="27" l="1"/>
  <c r="F175" i="27"/>
  <c r="U25" i="29"/>
  <c r="U24" i="29"/>
  <c r="E222" i="23"/>
  <c r="E227" i="23"/>
  <c r="E226" i="23"/>
  <c r="E225" i="23"/>
  <c r="E223" i="23"/>
  <c r="E221" i="23"/>
  <c r="B23" i="23"/>
  <c r="B222" i="23"/>
  <c r="B223" i="23"/>
  <c r="B224" i="23"/>
  <c r="B225" i="23"/>
  <c r="B226" i="23"/>
  <c r="B227" i="23"/>
  <c r="B221" i="23"/>
  <c r="L35" i="23"/>
  <c r="N35" i="23"/>
  <c r="L36" i="23"/>
  <c r="N36" i="23"/>
  <c r="J35" i="23"/>
  <c r="J36" i="23"/>
  <c r="G36" i="23"/>
  <c r="G35" i="23"/>
  <c r="B35" i="23"/>
  <c r="C35" i="23"/>
  <c r="D35" i="23"/>
  <c r="E35" i="23"/>
  <c r="B36" i="23"/>
  <c r="C36" i="23"/>
  <c r="D36" i="23"/>
  <c r="E36" i="23"/>
  <c r="I68" i="10"/>
  <c r="K68" i="10" s="1"/>
  <c r="M35" i="23" s="1"/>
  <c r="I69" i="10"/>
  <c r="K69" i="10" s="1"/>
  <c r="M36" i="23" s="1"/>
  <c r="L68" i="10"/>
  <c r="L69" i="10"/>
  <c r="F177" i="27" l="1"/>
  <c r="F178" i="27" s="1"/>
  <c r="E232" i="23" s="1"/>
  <c r="O36" i="23"/>
  <c r="O35" i="23"/>
  <c r="I35" i="23"/>
  <c r="P36" i="23"/>
  <c r="I36" i="23"/>
  <c r="P35" i="23"/>
  <c r="K36" i="23"/>
  <c r="K35" i="23"/>
  <c r="J57" i="22"/>
  <c r="K57" i="22"/>
  <c r="J58" i="22"/>
  <c r="K58" i="22"/>
  <c r="I54" i="22"/>
  <c r="J54" i="22"/>
  <c r="I84" i="22"/>
  <c r="J84" i="22"/>
  <c r="I90" i="22"/>
  <c r="K90" i="22"/>
  <c r="Q36" i="23" l="1"/>
  <c r="C227" i="23"/>
  <c r="G227" i="23" s="1"/>
  <c r="Q35" i="23"/>
  <c r="C226" i="23"/>
  <c r="G226" i="23" s="1"/>
  <c r="R35" i="23"/>
  <c r="R36" i="23"/>
  <c r="E191" i="35"/>
  <c r="E192" i="35"/>
  <c r="E193" i="35"/>
  <c r="E190" i="35"/>
  <c r="I127" i="35"/>
  <c r="E181" i="35"/>
  <c r="E184" i="35" s="1"/>
  <c r="E194" i="35" l="1"/>
  <c r="E163" i="35" l="1"/>
  <c r="F160" i="35"/>
  <c r="F161" i="35"/>
  <c r="F162" i="35"/>
  <c r="E161" i="35"/>
  <c r="E162" i="35"/>
  <c r="E160" i="35"/>
  <c r="E154" i="35"/>
  <c r="E127" i="35"/>
  <c r="E152" i="35"/>
  <c r="E124" i="35"/>
  <c r="E123" i="35"/>
  <c r="M123" i="35"/>
  <c r="M124" i="35"/>
  <c r="M94" i="23"/>
  <c r="J94" i="23"/>
  <c r="I94" i="23"/>
  <c r="F94" i="23"/>
  <c r="D94" i="23"/>
  <c r="C94" i="23"/>
  <c r="N92" i="23"/>
  <c r="M92" i="23"/>
  <c r="L92" i="23"/>
  <c r="J92" i="23"/>
  <c r="I92" i="23"/>
  <c r="H92" i="23"/>
  <c r="G92" i="23"/>
  <c r="F92" i="23"/>
  <c r="E92" i="23"/>
  <c r="D92" i="23"/>
  <c r="C92" i="23"/>
  <c r="E164" i="35" l="1"/>
  <c r="M144" i="35"/>
  <c r="O27" i="29"/>
  <c r="D72" i="10"/>
  <c r="D73" i="10" s="1"/>
  <c r="G37" i="23" s="1"/>
  <c r="C22" i="23"/>
  <c r="D25" i="23" l="1"/>
  <c r="D24" i="23"/>
  <c r="D23" i="23"/>
  <c r="C232" i="23"/>
  <c r="G232" i="23" s="1"/>
  <c r="G77" i="10"/>
  <c r="V82" i="10" l="1"/>
  <c r="F24" i="33" s="1"/>
  <c r="C23" i="23"/>
  <c r="C25" i="23"/>
  <c r="J27" i="23"/>
  <c r="E25" i="23"/>
  <c r="L25" i="23"/>
  <c r="N25" i="23"/>
  <c r="L55" i="10"/>
  <c r="N23" i="23"/>
  <c r="N27" i="23" s="1"/>
  <c r="L23" i="23"/>
  <c r="J23" i="23"/>
  <c r="E23" i="23"/>
  <c r="L27" i="23" l="1"/>
  <c r="I55" i="10"/>
  <c r="K55" i="10" s="1"/>
  <c r="M23" i="23" s="1"/>
  <c r="K25" i="23"/>
  <c r="K23" i="23" l="1"/>
  <c r="K27" i="23" s="1"/>
  <c r="M27" i="23"/>
  <c r="I25" i="23"/>
  <c r="M25" i="23"/>
  <c r="Q13" i="10" l="1"/>
  <c r="Q14" i="10"/>
  <c r="Q15" i="10"/>
  <c r="Q16" i="10"/>
  <c r="Q17" i="10"/>
  <c r="Q18" i="10"/>
  <c r="Q12" i="10"/>
  <c r="C56" i="23" l="1"/>
  <c r="D56" i="23"/>
  <c r="E56" i="23"/>
  <c r="F56" i="23"/>
  <c r="G56" i="23" s="1"/>
  <c r="H56" i="23" l="1"/>
  <c r="C54" i="23"/>
  <c r="D54" i="23"/>
  <c r="E54" i="23"/>
  <c r="F54" i="23"/>
  <c r="G54" i="23" l="1"/>
  <c r="H54" i="23" s="1"/>
  <c r="O26" i="29" l="1"/>
  <c r="O25" i="29"/>
  <c r="O24" i="29"/>
  <c r="O23" i="29"/>
  <c r="O20" i="29"/>
  <c r="I50" i="29"/>
  <c r="O22" i="29" s="1"/>
  <c r="I48" i="29"/>
  <c r="O21" i="29" s="1"/>
  <c r="I47" i="29"/>
  <c r="I46" i="29"/>
  <c r="O19" i="29" s="1"/>
  <c r="I45" i="29"/>
  <c r="O18" i="29" s="1"/>
  <c r="N37" i="23" l="1"/>
  <c r="J37" i="23"/>
  <c r="E37" i="23"/>
  <c r="D37" i="23"/>
  <c r="C37" i="23"/>
  <c r="B37" i="23"/>
  <c r="O37" i="23"/>
  <c r="I70" i="10"/>
  <c r="K37" i="23" s="1"/>
  <c r="L70" i="10"/>
  <c r="N91" i="22"/>
  <c r="AF22" i="22"/>
  <c r="AE22" i="22"/>
  <c r="AD22" i="22"/>
  <c r="AC22" i="22"/>
  <c r="AB22" i="22"/>
  <c r="I37" i="23" l="1"/>
  <c r="K70" i="10"/>
  <c r="M37" i="23" s="1"/>
  <c r="P37" i="23" s="1"/>
  <c r="B82" i="33"/>
  <c r="B66" i="33"/>
  <c r="B51" i="33"/>
  <c r="R37" i="23" l="1"/>
  <c r="Q37" i="23"/>
  <c r="N31" i="23"/>
  <c r="N32" i="23"/>
  <c r="N33" i="23"/>
  <c r="N34" i="23"/>
  <c r="N38" i="23"/>
  <c r="N39" i="23"/>
  <c r="N40" i="23"/>
  <c r="N41" i="23"/>
  <c r="N42" i="23"/>
  <c r="N43" i="23"/>
  <c r="N44" i="23"/>
  <c r="N45" i="23"/>
  <c r="N30" i="23"/>
  <c r="L30" i="23"/>
  <c r="O30" i="23" s="1"/>
  <c r="L31" i="23"/>
  <c r="L32" i="23"/>
  <c r="L33" i="23"/>
  <c r="L34" i="23"/>
  <c r="L38" i="23"/>
  <c r="O38" i="23" s="1"/>
  <c r="L39" i="23"/>
  <c r="O39" i="23" s="1"/>
  <c r="L40" i="23"/>
  <c r="O40" i="23" s="1"/>
  <c r="L41" i="23"/>
  <c r="O41" i="23" s="1"/>
  <c r="L42" i="23"/>
  <c r="O42" i="23" s="1"/>
  <c r="L43" i="23"/>
  <c r="O43" i="23" s="1"/>
  <c r="L44" i="23"/>
  <c r="O44" i="23" s="1"/>
  <c r="L45" i="23"/>
  <c r="O45" i="23" s="1"/>
  <c r="G34" i="23" l="1"/>
  <c r="G32" i="23"/>
  <c r="G31" i="23"/>
  <c r="E31" i="23"/>
  <c r="E32" i="23"/>
  <c r="E33" i="23"/>
  <c r="E34" i="23"/>
  <c r="E38" i="23"/>
  <c r="E39" i="23"/>
  <c r="E40" i="23"/>
  <c r="E41" i="23"/>
  <c r="E42" i="23"/>
  <c r="E43" i="23"/>
  <c r="E44" i="23"/>
  <c r="E45" i="23"/>
  <c r="E30" i="23"/>
  <c r="D31" i="23"/>
  <c r="D32" i="23"/>
  <c r="D33" i="23"/>
  <c r="D34" i="23"/>
  <c r="D38" i="23"/>
  <c r="I38" i="23" s="1"/>
  <c r="Q38" i="23" s="1"/>
  <c r="D39" i="23"/>
  <c r="I39" i="23" s="1"/>
  <c r="Q39" i="23" s="1"/>
  <c r="D40" i="23"/>
  <c r="I40" i="23" s="1"/>
  <c r="Q40" i="23" s="1"/>
  <c r="D41" i="23"/>
  <c r="I41" i="23" s="1"/>
  <c r="Q41" i="23" s="1"/>
  <c r="D42" i="23"/>
  <c r="I42" i="23" s="1"/>
  <c r="D43" i="23"/>
  <c r="I43" i="23" s="1"/>
  <c r="Q43" i="23" s="1"/>
  <c r="D44" i="23"/>
  <c r="I44" i="23" s="1"/>
  <c r="Q44" i="23" s="1"/>
  <c r="D45" i="23"/>
  <c r="I45" i="23" s="1"/>
  <c r="Q45" i="23" s="1"/>
  <c r="D30" i="23"/>
  <c r="C31" i="23"/>
  <c r="C32" i="23"/>
  <c r="C33" i="23"/>
  <c r="C34" i="23"/>
  <c r="C38" i="23"/>
  <c r="C39" i="23"/>
  <c r="C40" i="23"/>
  <c r="C41" i="23"/>
  <c r="C42" i="23"/>
  <c r="C43" i="23"/>
  <c r="C44" i="23"/>
  <c r="C45" i="23"/>
  <c r="C30" i="23"/>
  <c r="B31" i="23"/>
  <c r="B32" i="23"/>
  <c r="B33" i="23"/>
  <c r="B34" i="23"/>
  <c r="B38" i="23"/>
  <c r="B39" i="23"/>
  <c r="B40" i="23"/>
  <c r="B41" i="23"/>
  <c r="B42" i="23"/>
  <c r="B43" i="23"/>
  <c r="B44" i="23"/>
  <c r="B45" i="23"/>
  <c r="B30" i="23"/>
  <c r="U66" i="38"/>
  <c r="U90" i="38"/>
  <c r="U82" i="38"/>
  <c r="U98" i="38"/>
  <c r="G24" i="23" l="1"/>
  <c r="G23" i="23"/>
  <c r="I23" i="23" s="1"/>
  <c r="Q42" i="23"/>
  <c r="I67" i="23"/>
  <c r="I32" i="23"/>
  <c r="C223" i="23" s="1"/>
  <c r="G223" i="23" s="1"/>
  <c r="O31" i="23"/>
  <c r="O32" i="23"/>
  <c r="O34" i="23"/>
  <c r="D65" i="23"/>
  <c r="Z64" i="22" s="1"/>
  <c r="AS64" i="22" s="1"/>
  <c r="I34" i="23"/>
  <c r="C225" i="23" s="1"/>
  <c r="G225" i="23" s="1"/>
  <c r="I31" i="23"/>
  <c r="D67" i="23"/>
  <c r="AA64" i="22" s="1"/>
  <c r="P74" i="10"/>
  <c r="O23" i="23" l="1"/>
  <c r="Q23" i="23" s="1"/>
  <c r="P23" i="23"/>
  <c r="R23" i="23" s="1"/>
  <c r="O24" i="23"/>
  <c r="P24" i="23"/>
  <c r="I24" i="23"/>
  <c r="D27" i="23" s="1"/>
  <c r="I27" i="23" s="1"/>
  <c r="AD64" i="22"/>
  <c r="C222" i="23"/>
  <c r="G222" i="23" s="1"/>
  <c r="C27" i="23"/>
  <c r="Z54" i="22"/>
  <c r="AS54" i="22" s="1"/>
  <c r="Z90" i="22"/>
  <c r="AS90" i="22" s="1"/>
  <c r="Z84" i="22"/>
  <c r="AS84" i="22" s="1"/>
  <c r="Z58" i="22"/>
  <c r="AS58" i="22" s="1"/>
  <c r="Z57" i="22"/>
  <c r="AS57" i="22" s="1"/>
  <c r="AA90" i="22"/>
  <c r="AA54" i="22"/>
  <c r="AA57" i="22"/>
  <c r="AA58" i="22"/>
  <c r="AA84" i="22"/>
  <c r="Q32" i="23"/>
  <c r="Q31" i="23"/>
  <c r="Q34" i="23"/>
  <c r="R24" i="23" l="1"/>
  <c r="Q24" i="23"/>
  <c r="I65" i="23"/>
  <c r="AD54" i="22"/>
  <c r="AD57" i="22"/>
  <c r="AD84" i="22"/>
  <c r="AD90" i="22"/>
  <c r="AD58" i="22"/>
  <c r="A130" i="35"/>
  <c r="AC57" i="22" l="1"/>
  <c r="AC64" i="22"/>
  <c r="AC54" i="22"/>
  <c r="AC84" i="22"/>
  <c r="AC90" i="22"/>
  <c r="AC58" i="22"/>
  <c r="M134" i="35"/>
  <c r="M133" i="35"/>
  <c r="F118" i="35"/>
  <c r="G118" i="35" s="1"/>
  <c r="E118" i="35"/>
  <c r="D118" i="35"/>
  <c r="C118" i="35"/>
  <c r="F117" i="35"/>
  <c r="G117" i="35" s="1"/>
  <c r="E117" i="35"/>
  <c r="D117" i="35"/>
  <c r="C117" i="35"/>
  <c r="F116" i="35"/>
  <c r="G116" i="35" s="1"/>
  <c r="E116" i="35"/>
  <c r="D116" i="35"/>
  <c r="C116" i="35"/>
  <c r="F115" i="35"/>
  <c r="G115" i="35" s="1"/>
  <c r="E115" i="35"/>
  <c r="D115" i="35"/>
  <c r="C115" i="35"/>
  <c r="F114" i="35"/>
  <c r="G114" i="35" s="1"/>
  <c r="E114" i="35"/>
  <c r="D114" i="35"/>
  <c r="C114" i="35"/>
  <c r="G124" i="35"/>
  <c r="B124" i="35"/>
  <c r="I123" i="35"/>
  <c r="G123" i="35"/>
  <c r="B123" i="35"/>
  <c r="K122" i="35"/>
  <c r="G122" i="35"/>
  <c r="B122" i="35"/>
  <c r="U87" i="35" a="1"/>
  <c r="U87" i="35" s="1"/>
  <c r="A110" i="35"/>
  <c r="W90" i="35"/>
  <c r="W89" i="35"/>
  <c r="E133" i="35" s="1"/>
  <c r="V89" i="35"/>
  <c r="I133" i="35" s="1"/>
  <c r="W88" i="35"/>
  <c r="V88" i="35"/>
  <c r="U88" i="35"/>
  <c r="A83" i="35"/>
  <c r="A100" i="23"/>
  <c r="I82" i="10"/>
  <c r="I83" i="10"/>
  <c r="I84" i="10"/>
  <c r="J43" i="23"/>
  <c r="J44" i="23"/>
  <c r="J45" i="23"/>
  <c r="L82" i="10"/>
  <c r="L83" i="10"/>
  <c r="L84" i="10"/>
  <c r="K84" i="10" l="1"/>
  <c r="M45" i="23" s="1"/>
  <c r="K45" i="23"/>
  <c r="K82" i="10"/>
  <c r="M43" i="23" s="1"/>
  <c r="K43" i="23"/>
  <c r="K83" i="10"/>
  <c r="M44" i="23" s="1"/>
  <c r="K44" i="23"/>
  <c r="H115" i="35"/>
  <c r="H116" i="35"/>
  <c r="W87" i="35"/>
  <c r="V87" i="35"/>
  <c r="N89" i="22"/>
  <c r="I66" i="10"/>
  <c r="K33" i="23" s="1"/>
  <c r="I67" i="10"/>
  <c r="K34" i="23" s="1"/>
  <c r="I74" i="10"/>
  <c r="I75" i="10"/>
  <c r="I76" i="10"/>
  <c r="K40" i="23" s="1"/>
  <c r="I80" i="10"/>
  <c r="I81" i="10"/>
  <c r="K42" i="23" s="1"/>
  <c r="J40" i="23"/>
  <c r="J41" i="23"/>
  <c r="J31" i="23"/>
  <c r="L74" i="10"/>
  <c r="L75" i="10"/>
  <c r="L76" i="10"/>
  <c r="L80" i="10"/>
  <c r="L81" i="10"/>
  <c r="E98" i="23"/>
  <c r="D111" i="23"/>
  <c r="E111" i="23"/>
  <c r="F111" i="23"/>
  <c r="G111" i="23"/>
  <c r="H111" i="23"/>
  <c r="I111" i="23"/>
  <c r="J111" i="23"/>
  <c r="K111" i="23"/>
  <c r="L111" i="23"/>
  <c r="M111" i="23"/>
  <c r="N111" i="23"/>
  <c r="C111" i="23"/>
  <c r="A109" i="23"/>
  <c r="K96" i="23"/>
  <c r="I97" i="23"/>
  <c r="G97" i="23"/>
  <c r="G98" i="23"/>
  <c r="G96" i="23"/>
  <c r="B97" i="23"/>
  <c r="B98" i="23"/>
  <c r="B96" i="23"/>
  <c r="E97" i="23"/>
  <c r="P44" i="23" l="1"/>
  <c r="R44" i="23" s="1"/>
  <c r="P43" i="23"/>
  <c r="R43" i="23" s="1"/>
  <c r="P45" i="23"/>
  <c r="R45" i="23" s="1"/>
  <c r="K80" i="10"/>
  <c r="M41" i="23" s="1"/>
  <c r="K41" i="23"/>
  <c r="K75" i="10"/>
  <c r="M39" i="23" s="1"/>
  <c r="K39" i="23"/>
  <c r="K74" i="10"/>
  <c r="M38" i="23" s="1"/>
  <c r="K38" i="23"/>
  <c r="L19" i="10"/>
  <c r="A158" i="23"/>
  <c r="A144" i="23"/>
  <c r="P38" i="23" l="1"/>
  <c r="R38" i="23" s="1"/>
  <c r="P41" i="23"/>
  <c r="R41" i="23" s="1"/>
  <c r="P39" i="23"/>
  <c r="R39" i="23" s="1"/>
  <c r="F148" i="23"/>
  <c r="G147" i="23"/>
  <c r="F147" i="23"/>
  <c r="F53" i="23"/>
  <c r="G53" i="23" s="1"/>
  <c r="F55" i="23"/>
  <c r="G55" i="23" s="1"/>
  <c r="F57" i="23"/>
  <c r="G57" i="23" s="1"/>
  <c r="F58" i="23"/>
  <c r="G58" i="23" s="1"/>
  <c r="F52" i="23"/>
  <c r="G52" i="23" s="1"/>
  <c r="C53" i="23"/>
  <c r="C55" i="23"/>
  <c r="C57" i="23"/>
  <c r="C58" i="23"/>
  <c r="C52" i="23"/>
  <c r="N61" i="22"/>
  <c r="N46" i="22"/>
  <c r="K89" i="22"/>
  <c r="J89" i="22"/>
  <c r="B4" i="33" l="1"/>
  <c r="I88" i="22" l="1"/>
  <c r="K88" i="22"/>
  <c r="I82" i="22"/>
  <c r="I83" i="22"/>
  <c r="I85" i="22"/>
  <c r="I86" i="22"/>
  <c r="I87" i="22"/>
  <c r="L63" i="10" l="1"/>
  <c r="L64" i="10"/>
  <c r="L65" i="10"/>
  <c r="L66" i="10"/>
  <c r="L67" i="10"/>
  <c r="C57" i="33" l="1"/>
  <c r="C89" i="33"/>
  <c r="C73" i="33"/>
  <c r="B2" i="33" l="1"/>
  <c r="J23" i="22" l="1"/>
  <c r="K23" i="22"/>
  <c r="J24" i="22"/>
  <c r="K24" i="22"/>
  <c r="J25" i="22"/>
  <c r="K25" i="22"/>
  <c r="J26" i="22"/>
  <c r="K26" i="22"/>
  <c r="J27" i="22"/>
  <c r="K27" i="22"/>
  <c r="J28" i="22"/>
  <c r="K28" i="22"/>
  <c r="J29" i="22"/>
  <c r="K29" i="22"/>
  <c r="J30" i="22"/>
  <c r="K30" i="22"/>
  <c r="J31" i="22"/>
  <c r="K31" i="22"/>
  <c r="J32" i="22"/>
  <c r="K32" i="22"/>
  <c r="J33" i="22"/>
  <c r="K33" i="22"/>
  <c r="J34" i="22"/>
  <c r="K34" i="22"/>
  <c r="J35" i="22"/>
  <c r="K35" i="22"/>
  <c r="J36" i="22"/>
  <c r="K36" i="22"/>
  <c r="J37" i="22"/>
  <c r="K37" i="22"/>
  <c r="J38" i="22"/>
  <c r="K38" i="22"/>
  <c r="J39" i="22"/>
  <c r="K39" i="22"/>
  <c r="J40" i="22"/>
  <c r="K40" i="22"/>
  <c r="J41" i="22"/>
  <c r="K41" i="22"/>
  <c r="I42" i="22"/>
  <c r="K42" i="22"/>
  <c r="I43" i="22"/>
  <c r="K43" i="22"/>
  <c r="I44" i="22"/>
  <c r="K44" i="22"/>
  <c r="I45" i="22"/>
  <c r="K45" i="22"/>
  <c r="I46" i="22"/>
  <c r="K46" i="22"/>
  <c r="I47" i="22"/>
  <c r="K47" i="22"/>
  <c r="I48" i="22"/>
  <c r="J48" i="22"/>
  <c r="I49" i="22"/>
  <c r="J49" i="22"/>
  <c r="I50" i="22"/>
  <c r="J50" i="22"/>
  <c r="I51" i="22"/>
  <c r="J51" i="22"/>
  <c r="I52" i="22"/>
  <c r="J52" i="22"/>
  <c r="I53" i="22"/>
  <c r="J53" i="22"/>
  <c r="I55" i="22"/>
  <c r="J55" i="22"/>
  <c r="J56" i="22"/>
  <c r="K56" i="22"/>
  <c r="I59" i="22"/>
  <c r="K59" i="22"/>
  <c r="I60" i="22"/>
  <c r="K60" i="22"/>
  <c r="I61" i="22"/>
  <c r="K61" i="22"/>
  <c r="I63" i="22"/>
  <c r="J63" i="22"/>
  <c r="J65" i="22"/>
  <c r="K65" i="22"/>
  <c r="J66" i="22"/>
  <c r="K66" i="22"/>
  <c r="J67" i="22"/>
  <c r="K67" i="22"/>
  <c r="J68" i="22"/>
  <c r="K68" i="22"/>
  <c r="J69" i="22"/>
  <c r="K69" i="22"/>
  <c r="J70" i="22"/>
  <c r="K70" i="22"/>
  <c r="J71" i="22"/>
  <c r="K71" i="22"/>
  <c r="J72" i="22"/>
  <c r="K72" i="22"/>
  <c r="I73" i="22"/>
  <c r="K73" i="22"/>
  <c r="I74" i="22"/>
  <c r="K74" i="22"/>
  <c r="I75" i="22"/>
  <c r="K75" i="22"/>
  <c r="I77" i="22"/>
  <c r="J77" i="22"/>
  <c r="I78" i="22"/>
  <c r="J78" i="22"/>
  <c r="I79" i="22"/>
  <c r="J79" i="22"/>
  <c r="J80" i="22"/>
  <c r="K80" i="22"/>
  <c r="K81" i="22"/>
  <c r="J85" i="22"/>
  <c r="J86" i="22"/>
  <c r="AK22" i="22" l="1"/>
  <c r="I36" i="35"/>
  <c r="G148" i="23" s="1"/>
  <c r="S121" i="7" l="1"/>
  <c r="S122" i="7"/>
  <c r="S120" i="7"/>
  <c r="G8" i="27" l="1"/>
  <c r="G33" i="23" s="1"/>
  <c r="J39" i="23"/>
  <c r="J38" i="23"/>
  <c r="K66" i="10"/>
  <c r="M33" i="23" s="1"/>
  <c r="K67" i="10"/>
  <c r="M34" i="23" s="1"/>
  <c r="I64" i="10"/>
  <c r="K31" i="23" s="1"/>
  <c r="I65" i="10"/>
  <c r="K32" i="23" s="1"/>
  <c r="I63" i="10"/>
  <c r="K30" i="23" s="1"/>
  <c r="P34" i="23" l="1"/>
  <c r="R34" i="23" s="1"/>
  <c r="P33" i="23"/>
  <c r="O33" i="23"/>
  <c r="I33" i="23"/>
  <c r="C224" i="23" s="1"/>
  <c r="G224" i="23" s="1"/>
  <c r="P69" i="6" a="1"/>
  <c r="Y69" i="6" s="1"/>
  <c r="AM69" i="6" a="1"/>
  <c r="AV69" i="6" s="1"/>
  <c r="P66" i="7" a="1"/>
  <c r="AA66" i="7" s="1"/>
  <c r="P60" i="7" a="1"/>
  <c r="Y60" i="7" s="1"/>
  <c r="P15" i="7" a="1"/>
  <c r="Z15" i="7" s="1"/>
  <c r="AM17" i="6" a="1"/>
  <c r="AW17" i="6" s="1"/>
  <c r="P17" i="6" a="1"/>
  <c r="P17" i="6" s="1"/>
  <c r="D94" i="33"/>
  <c r="D75" i="33"/>
  <c r="D59" i="33"/>
  <c r="Q90" i="34"/>
  <c r="Q98" i="34"/>
  <c r="Q33" i="23" l="1"/>
  <c r="R33" i="23"/>
  <c r="C93" i="23"/>
  <c r="R69" i="6"/>
  <c r="V69" i="6"/>
  <c r="Z69" i="6"/>
  <c r="S69" i="6"/>
  <c r="AA69" i="6"/>
  <c r="P69" i="6"/>
  <c r="T69" i="6"/>
  <c r="X69" i="6"/>
  <c r="W69" i="6"/>
  <c r="Q69" i="6"/>
  <c r="U69" i="6"/>
  <c r="AO69" i="6"/>
  <c r="AS69" i="6"/>
  <c r="AW69" i="6"/>
  <c r="AP69" i="6"/>
  <c r="AX69" i="6"/>
  <c r="AM69" i="6"/>
  <c r="AQ69" i="6"/>
  <c r="AU69" i="6"/>
  <c r="AT69" i="6"/>
  <c r="AN69" i="6"/>
  <c r="AR69" i="6"/>
  <c r="S66" i="7"/>
  <c r="W66" i="7"/>
  <c r="P66" i="7"/>
  <c r="T66" i="7"/>
  <c r="X66" i="7"/>
  <c r="Y66" i="7"/>
  <c r="Q66" i="7"/>
  <c r="U66" i="7"/>
  <c r="R66" i="7"/>
  <c r="V66" i="7"/>
  <c r="Z66" i="7"/>
  <c r="AA60" i="7"/>
  <c r="P60" i="7"/>
  <c r="T60" i="7"/>
  <c r="X60" i="7"/>
  <c r="R60" i="7"/>
  <c r="V60" i="7"/>
  <c r="Z60" i="7"/>
  <c r="S60" i="7"/>
  <c r="W60" i="7"/>
  <c r="Q60" i="7"/>
  <c r="U60" i="7"/>
  <c r="S15" i="7"/>
  <c r="W15" i="7"/>
  <c r="AA15" i="7"/>
  <c r="P15" i="7"/>
  <c r="T15" i="7"/>
  <c r="X15" i="7"/>
  <c r="Q15" i="7"/>
  <c r="U15" i="7"/>
  <c r="Y15" i="7"/>
  <c r="R15" i="7"/>
  <c r="V15" i="7"/>
  <c r="AP17" i="6"/>
  <c r="AT17" i="6"/>
  <c r="AX17" i="6"/>
  <c r="AM17" i="6"/>
  <c r="AQ17" i="6"/>
  <c r="AU17" i="6"/>
  <c r="AN17" i="6"/>
  <c r="AR17" i="6"/>
  <c r="AV17" i="6"/>
  <c r="AO17" i="6"/>
  <c r="AS17" i="6"/>
  <c r="S17" i="6"/>
  <c r="Z17" i="6"/>
  <c r="V17" i="6"/>
  <c r="R17" i="6"/>
  <c r="W17" i="6"/>
  <c r="Y17" i="6"/>
  <c r="U17" i="6"/>
  <c r="Q17" i="6"/>
  <c r="AA17" i="6"/>
  <c r="X17" i="6"/>
  <c r="T17" i="6"/>
  <c r="B81" i="23"/>
  <c r="A26" i="30"/>
  <c r="A33" i="30"/>
  <c r="A11" i="30"/>
  <c r="A42" i="30"/>
  <c r="A68" i="30"/>
  <c r="D48" i="36" a="1"/>
  <c r="D48" i="36" s="1"/>
  <c r="B190" i="23" a="1"/>
  <c r="B190" i="23" s="1"/>
  <c r="M120" i="7" a="1"/>
  <c r="M120" i="7" s="1"/>
  <c r="M142" i="6" a="1"/>
  <c r="M142" i="6" s="1"/>
  <c r="AU22" i="22"/>
  <c r="AQ17" i="22"/>
  <c r="Y17" i="22"/>
  <c r="Q17" i="22"/>
  <c r="M17" i="22"/>
  <c r="C17" i="22"/>
  <c r="A18" i="22"/>
  <c r="A17" i="22"/>
  <c r="C208" i="23"/>
  <c r="C211" i="23" s="1"/>
  <c r="C209" i="23"/>
  <c r="C212" i="23" s="1"/>
  <c r="C207" i="23"/>
  <c r="C210" i="23" s="1"/>
  <c r="K212" i="23"/>
  <c r="K206" i="23"/>
  <c r="K209" i="23"/>
  <c r="A201" i="23"/>
  <c r="AQ22" i="22"/>
  <c r="AH22" i="22"/>
  <c r="R22" i="22"/>
  <c r="Q22" i="22"/>
  <c r="AN22" i="22"/>
  <c r="Q66" i="34"/>
  <c r="Q82" i="34"/>
  <c r="Q25" i="34"/>
  <c r="Q39" i="34"/>
  <c r="Q45" i="34"/>
  <c r="Q52" i="34"/>
  <c r="N93" i="23" l="1"/>
  <c r="H93" i="23"/>
  <c r="M93" i="23"/>
  <c r="G93" i="23"/>
  <c r="L93" i="23"/>
  <c r="F93" i="23"/>
  <c r="K93" i="23"/>
  <c r="E93" i="23"/>
  <c r="J93" i="23"/>
  <c r="D93" i="23"/>
  <c r="I93" i="23"/>
  <c r="F48" i="36"/>
  <c r="E48" i="36"/>
  <c r="B192" i="23"/>
  <c r="B191" i="23"/>
  <c r="M122" i="7"/>
  <c r="M121" i="7"/>
  <c r="M144" i="6"/>
  <c r="M143" i="6"/>
  <c r="AO22" i="22"/>
  <c r="AM22" i="22"/>
  <c r="V22" i="22"/>
  <c r="W22" i="22"/>
  <c r="U22" i="22"/>
  <c r="A39" i="36"/>
  <c r="A10" i="36"/>
  <c r="D55" i="36"/>
  <c r="D59" i="36" s="1"/>
  <c r="E55" i="36"/>
  <c r="E59" i="36" s="1"/>
  <c r="F55" i="36"/>
  <c r="F59" i="36" s="1"/>
  <c r="D56" i="36"/>
  <c r="E56" i="36"/>
  <c r="F56" i="36"/>
  <c r="A194" i="23"/>
  <c r="F191" i="23"/>
  <c r="F192" i="23"/>
  <c r="F190" i="23"/>
  <c r="E190" i="23"/>
  <c r="D191" i="23"/>
  <c r="D192" i="23"/>
  <c r="D190" i="23"/>
  <c r="C190" i="23"/>
  <c r="A181" i="23"/>
  <c r="N122" i="7"/>
  <c r="E192" i="23" s="1"/>
  <c r="N121" i="7"/>
  <c r="E191" i="23" s="1"/>
  <c r="K116" i="7"/>
  <c r="N144" i="6"/>
  <c r="C192" i="23" s="1"/>
  <c r="N143" i="6"/>
  <c r="C191" i="23" s="1"/>
  <c r="L138" i="6"/>
  <c r="C169" i="23"/>
  <c r="C170" i="23"/>
  <c r="C171" i="23"/>
  <c r="A166" i="23"/>
  <c r="E52" i="23"/>
  <c r="E53" i="23"/>
  <c r="E55" i="23"/>
  <c r="E57" i="23"/>
  <c r="E58" i="23"/>
  <c r="A138" i="23"/>
  <c r="A38" i="35"/>
  <c r="E36" i="35"/>
  <c r="D148" i="23" s="1"/>
  <c r="E35" i="35"/>
  <c r="D147" i="23" s="1"/>
  <c r="A23" i="35"/>
  <c r="A9" i="35"/>
  <c r="E123" i="23"/>
  <c r="E169" i="23" s="1"/>
  <c r="E124" i="23"/>
  <c r="E170" i="23" s="1"/>
  <c r="E125" i="23"/>
  <c r="E171" i="23" s="1"/>
  <c r="A120" i="23"/>
  <c r="A89" i="23"/>
  <c r="C81" i="23"/>
  <c r="K61" i="36" l="1"/>
  <c r="K60" i="36"/>
  <c r="K59" i="36"/>
  <c r="E60" i="36"/>
  <c r="J61" i="36"/>
  <c r="J60" i="36"/>
  <c r="J59" i="36"/>
  <c r="I60" i="36"/>
  <c r="I59" i="36"/>
  <c r="I61" i="36"/>
  <c r="D60" i="36"/>
  <c r="F60" i="36"/>
  <c r="F57" i="36"/>
  <c r="E57" i="36"/>
  <c r="D57" i="36"/>
  <c r="U123" i="6"/>
  <c r="U114" i="6"/>
  <c r="U122" i="6" s="1"/>
  <c r="U124" i="6" s="1"/>
  <c r="BA93" i="6"/>
  <c r="BA92" i="6"/>
  <c r="BA91" i="6"/>
  <c r="BA90" i="6"/>
  <c r="BA89" i="6"/>
  <c r="BA88" i="6"/>
  <c r="BA87" i="6"/>
  <c r="BA86" i="6"/>
  <c r="BA85" i="6"/>
  <c r="BA84" i="6"/>
  <c r="BA83" i="6"/>
  <c r="BA82" i="6"/>
  <c r="BA81" i="6"/>
  <c r="BA80" i="6"/>
  <c r="BA79" i="6"/>
  <c r="BA78" i="6"/>
  <c r="BA77" i="6"/>
  <c r="BA76" i="6"/>
  <c r="BA71" i="6"/>
  <c r="BA70" i="6"/>
  <c r="AD71" i="6"/>
  <c r="W134" i="6" s="1"/>
  <c r="AD93" i="6"/>
  <c r="AD92" i="6"/>
  <c r="AD91" i="6"/>
  <c r="AD90" i="6"/>
  <c r="AD89" i="6"/>
  <c r="AD88" i="6"/>
  <c r="AD87" i="6"/>
  <c r="AD86" i="6"/>
  <c r="AD85" i="6"/>
  <c r="AD84" i="6"/>
  <c r="AD83" i="6"/>
  <c r="AD82" i="6"/>
  <c r="AD81" i="6"/>
  <c r="AD80" i="6"/>
  <c r="AD79" i="6"/>
  <c r="AD78" i="6"/>
  <c r="AD77" i="6"/>
  <c r="AD76" i="6"/>
  <c r="AD70" i="6"/>
  <c r="U135" i="6" s="1"/>
  <c r="X104" i="6"/>
  <c r="L96" i="6"/>
  <c r="AX75" i="6"/>
  <c r="AW75" i="6"/>
  <c r="AV75" i="6"/>
  <c r="AU75" i="6"/>
  <c r="AT75" i="6"/>
  <c r="AS75" i="6"/>
  <c r="AR75" i="6"/>
  <c r="AQ75" i="6"/>
  <c r="AP75" i="6"/>
  <c r="AO75" i="6"/>
  <c r="AN75" i="6"/>
  <c r="AM75" i="6"/>
  <c r="AY70" i="6"/>
  <c r="AY71" i="6"/>
  <c r="K73" i="6"/>
  <c r="AB70" i="6"/>
  <c r="T134" i="6" s="1"/>
  <c r="AB71" i="6"/>
  <c r="V134" i="6" s="1"/>
  <c r="K65" i="6"/>
  <c r="AL42" i="6"/>
  <c r="O42" i="6"/>
  <c r="M13" i="6"/>
  <c r="A13" i="6"/>
  <c r="O111" i="7"/>
  <c r="R103" i="7"/>
  <c r="R104" i="7"/>
  <c r="R102" i="7"/>
  <c r="R105" i="7" s="1"/>
  <c r="U107" i="7" s="1"/>
  <c r="Q105" i="7"/>
  <c r="AB61" i="7"/>
  <c r="C87" i="23" s="1"/>
  <c r="K78" i="7"/>
  <c r="K56" i="7"/>
  <c r="K64" i="7"/>
  <c r="O43" i="7"/>
  <c r="AB41" i="7"/>
  <c r="AB40" i="7"/>
  <c r="AB39" i="7"/>
  <c r="AB38" i="7"/>
  <c r="L12" i="7"/>
  <c r="A12" i="7"/>
  <c r="A79" i="23"/>
  <c r="U128" i="6" l="1"/>
  <c r="T135" i="6" s="1"/>
  <c r="W144" i="6"/>
  <c r="W143" i="6"/>
  <c r="W142" i="6"/>
  <c r="C86" i="23"/>
  <c r="C85" i="23"/>
  <c r="S143" i="6"/>
  <c r="S144" i="6"/>
  <c r="S142" i="6"/>
  <c r="W135" i="6"/>
  <c r="U134" i="6"/>
  <c r="P144" i="6"/>
  <c r="R144" i="6"/>
  <c r="P143" i="6"/>
  <c r="R143" i="6"/>
  <c r="P142" i="6"/>
  <c r="R142" i="6"/>
  <c r="F186" i="23"/>
  <c r="O112" i="7"/>
  <c r="F185" i="23"/>
  <c r="F184" i="23"/>
  <c r="V135" i="6"/>
  <c r="K64" i="10"/>
  <c r="M31" i="23" s="1"/>
  <c r="K65" i="10"/>
  <c r="M32" i="23" s="1"/>
  <c r="K76" i="10"/>
  <c r="M40" i="23" s="1"/>
  <c r="K63" i="10"/>
  <c r="M30" i="23" s="1"/>
  <c r="P30" i="23" s="1"/>
  <c r="P32" i="23" l="1"/>
  <c r="R32" i="23" s="1"/>
  <c r="P31" i="23"/>
  <c r="R31" i="23" s="1"/>
  <c r="P40" i="23"/>
  <c r="R40" i="23" s="1"/>
  <c r="J65" i="23" s="1"/>
  <c r="R122" i="7"/>
  <c r="P120" i="7"/>
  <c r="R121" i="7"/>
  <c r="R120" i="7"/>
  <c r="P122" i="7"/>
  <c r="P121" i="7"/>
  <c r="H114" i="35"/>
  <c r="V144" i="6"/>
  <c r="T142" i="6"/>
  <c r="T143" i="6"/>
  <c r="V142" i="6"/>
  <c r="T144" i="6"/>
  <c r="V143" i="6"/>
  <c r="A47" i="23"/>
  <c r="AI64" i="22" l="1"/>
  <c r="H118" i="35"/>
  <c r="H117" i="35"/>
  <c r="AQ26" i="6"/>
  <c r="AL50" i="6"/>
  <c r="AL60" i="6" s="1"/>
  <c r="AQ60" i="6" s="1"/>
  <c r="AY47" i="6"/>
  <c r="AY46" i="6"/>
  <c r="AY38" i="6"/>
  <c r="AY37" i="6"/>
  <c r="AY35" i="6"/>
  <c r="AL27" i="6"/>
  <c r="AL30" i="6" s="1"/>
  <c r="AL36" i="6" s="1"/>
  <c r="AL41" i="6" s="1"/>
  <c r="AL43" i="6" s="1"/>
  <c r="AN26" i="6"/>
  <c r="AY25" i="6"/>
  <c r="AY24" i="6"/>
  <c r="AV26" i="6"/>
  <c r="AY22" i="6"/>
  <c r="AY21" i="6"/>
  <c r="AY20" i="6"/>
  <c r="AY19" i="6"/>
  <c r="AI90" i="22" l="1"/>
  <c r="AI58" i="22"/>
  <c r="AI54" i="22"/>
  <c r="AI57" i="22"/>
  <c r="AI84" i="22"/>
  <c r="L65" i="23"/>
  <c r="H119" i="35"/>
  <c r="AN36" i="6"/>
  <c r="AQ36" i="6"/>
  <c r="AL61" i="6"/>
  <c r="AL59" i="6"/>
  <c r="AV36" i="6"/>
  <c r="E185" i="35" l="1"/>
  <c r="E187" i="35"/>
  <c r="E198" i="35" s="1"/>
  <c r="I106" i="23" s="1"/>
  <c r="M138" i="35"/>
  <c r="E157" i="35"/>
  <c r="E155" i="35"/>
  <c r="E134" i="35"/>
  <c r="M137" i="35"/>
  <c r="E138" i="35"/>
  <c r="I138" i="35"/>
  <c r="I142" i="35" s="1"/>
  <c r="I103" i="23" s="1"/>
  <c r="K81" i="10"/>
  <c r="M42" i="23" s="1"/>
  <c r="B101" i="33"/>
  <c r="E168" i="35" l="1"/>
  <c r="E106" i="23" s="1"/>
  <c r="E142" i="35"/>
  <c r="E103" i="23" s="1"/>
  <c r="P42" i="23"/>
  <c r="R42" i="23" s="1"/>
  <c r="J67" i="23" s="1"/>
  <c r="M139" i="35"/>
  <c r="M142" i="35" s="1"/>
  <c r="L22" i="22"/>
  <c r="K22" i="22"/>
  <c r="J22" i="22"/>
  <c r="I22" i="22"/>
  <c r="AJ64" i="22" l="1"/>
  <c r="L67" i="23"/>
  <c r="AJ90" i="22"/>
  <c r="AJ57" i="22"/>
  <c r="AJ84" i="22"/>
  <c r="AJ54" i="22"/>
  <c r="AJ58" i="22"/>
  <c r="K56" i="30"/>
  <c r="G31" i="30" s="1"/>
  <c r="G56" i="30"/>
  <c r="C31" i="30" s="1"/>
  <c r="C56" i="30"/>
  <c r="B31" i="30" s="1"/>
  <c r="K55" i="30"/>
  <c r="G30" i="30" s="1"/>
  <c r="G55" i="30"/>
  <c r="C30" i="30" s="1"/>
  <c r="C55" i="30"/>
  <c r="B30" i="30" s="1"/>
  <c r="K54" i="30"/>
  <c r="G29" i="30" s="1"/>
  <c r="G54" i="30"/>
  <c r="C29" i="30" s="1"/>
  <c r="C54" i="30"/>
  <c r="B29" i="30" s="1"/>
  <c r="K53" i="30"/>
  <c r="G28" i="30" s="1"/>
  <c r="G53" i="30"/>
  <c r="C28" i="30" s="1"/>
  <c r="C53" i="30"/>
  <c r="B28" i="30" s="1"/>
  <c r="K52" i="30"/>
  <c r="G52" i="30"/>
  <c r="C27" i="30" s="1"/>
  <c r="C52" i="30"/>
  <c r="B27" i="30" s="1"/>
  <c r="J56" i="30"/>
  <c r="F56" i="30"/>
  <c r="B56" i="30"/>
  <c r="F31" i="30" s="1"/>
  <c r="J55" i="30"/>
  <c r="F55" i="30"/>
  <c r="B55" i="30"/>
  <c r="F30" i="30" s="1"/>
  <c r="J54" i="30"/>
  <c r="F54" i="30"/>
  <c r="B54" i="30"/>
  <c r="F29" i="30" s="1"/>
  <c r="J53" i="30"/>
  <c r="F53" i="30"/>
  <c r="B53" i="30"/>
  <c r="F28" i="30" s="1"/>
  <c r="J52" i="30"/>
  <c r="F52" i="30"/>
  <c r="B52" i="30"/>
  <c r="F27" i="30" s="1"/>
  <c r="I56" i="30"/>
  <c r="E31" i="30" s="1"/>
  <c r="E56" i="30"/>
  <c r="A56" i="30"/>
  <c r="I55" i="30"/>
  <c r="E30" i="30" s="1"/>
  <c r="E55" i="30"/>
  <c r="A55" i="30"/>
  <c r="I54" i="30"/>
  <c r="E29" i="30" s="1"/>
  <c r="E54" i="30"/>
  <c r="A54" i="30"/>
  <c r="I53" i="30"/>
  <c r="E28" i="30" s="1"/>
  <c r="E53" i="30"/>
  <c r="A53" i="30"/>
  <c r="A28" i="30" s="1"/>
  <c r="I52" i="30"/>
  <c r="E27" i="30" s="1"/>
  <c r="E52" i="30"/>
  <c r="A52" i="30"/>
  <c r="A27" i="30" s="1"/>
  <c r="L56" i="30"/>
  <c r="H56" i="30"/>
  <c r="D31" i="30" s="1"/>
  <c r="D56" i="30"/>
  <c r="L55" i="30"/>
  <c r="H55" i="30"/>
  <c r="D30" i="30" s="1"/>
  <c r="D55" i="30"/>
  <c r="L54" i="30"/>
  <c r="H54" i="30"/>
  <c r="D29" i="30" s="1"/>
  <c r="D54" i="30"/>
  <c r="L53" i="30"/>
  <c r="H53" i="30"/>
  <c r="D28" i="30" s="1"/>
  <c r="D53" i="30"/>
  <c r="L52" i="30"/>
  <c r="H52" i="30"/>
  <c r="D27" i="30" s="1"/>
  <c r="D52" i="30"/>
  <c r="C59" i="30"/>
  <c r="B34" i="30" s="1"/>
  <c r="G59" i="30"/>
  <c r="C34" i="30" s="1"/>
  <c r="K59" i="30"/>
  <c r="D60" i="30"/>
  <c r="H60" i="30"/>
  <c r="D35" i="30" s="1"/>
  <c r="L60" i="30"/>
  <c r="E61" i="30"/>
  <c r="I61" i="30"/>
  <c r="E36" i="30" s="1"/>
  <c r="B62" i="30"/>
  <c r="F37" i="30" s="1"/>
  <c r="F62" i="30"/>
  <c r="J62" i="30"/>
  <c r="C63" i="30"/>
  <c r="B38" i="30" s="1"/>
  <c r="G63" i="30"/>
  <c r="C38" i="30" s="1"/>
  <c r="K63" i="30"/>
  <c r="A62" i="30"/>
  <c r="A37" i="30" s="1"/>
  <c r="D59" i="30"/>
  <c r="H59" i="30"/>
  <c r="D34" i="30" s="1"/>
  <c r="L59" i="30"/>
  <c r="E60" i="30"/>
  <c r="I60" i="30"/>
  <c r="E35" i="30" s="1"/>
  <c r="B61" i="30"/>
  <c r="F36" i="30" s="1"/>
  <c r="F61" i="30"/>
  <c r="J61" i="30"/>
  <c r="C62" i="30"/>
  <c r="B37" i="30" s="1"/>
  <c r="G62" i="30"/>
  <c r="C37" i="30" s="1"/>
  <c r="K62" i="30"/>
  <c r="D63" i="30"/>
  <c r="H63" i="30"/>
  <c r="D38" i="30" s="1"/>
  <c r="L63" i="30"/>
  <c r="A63" i="30"/>
  <c r="A38" i="30" s="1"/>
  <c r="E59" i="30"/>
  <c r="I59" i="30"/>
  <c r="E34" i="30" s="1"/>
  <c r="B60" i="30"/>
  <c r="F35" i="30" s="1"/>
  <c r="F60" i="30"/>
  <c r="J60" i="30"/>
  <c r="C61" i="30"/>
  <c r="B36" i="30" s="1"/>
  <c r="G61" i="30"/>
  <c r="C36" i="30" s="1"/>
  <c r="K61" i="30"/>
  <c r="D62" i="30"/>
  <c r="H62" i="30"/>
  <c r="D37" i="30" s="1"/>
  <c r="L62" i="30"/>
  <c r="E63" i="30"/>
  <c r="I63" i="30"/>
  <c r="E38" i="30" s="1"/>
  <c r="A60" i="30"/>
  <c r="A35" i="30" s="1"/>
  <c r="C95" i="33" s="1"/>
  <c r="A59" i="30"/>
  <c r="A34" i="30" s="1"/>
  <c r="B59" i="30"/>
  <c r="F34" i="30" s="1"/>
  <c r="F59" i="30"/>
  <c r="J59" i="30"/>
  <c r="C60" i="30"/>
  <c r="B35" i="30" s="1"/>
  <c r="G60" i="30"/>
  <c r="C35" i="30" s="1"/>
  <c r="K60" i="30"/>
  <c r="D61" i="30"/>
  <c r="H61" i="30"/>
  <c r="D36" i="30" s="1"/>
  <c r="L61" i="30"/>
  <c r="E62" i="30"/>
  <c r="I62" i="30"/>
  <c r="E37" i="30" s="1"/>
  <c r="B63" i="30"/>
  <c r="F38" i="30" s="1"/>
  <c r="F63" i="30"/>
  <c r="J63" i="30"/>
  <c r="A61" i="30"/>
  <c r="A36" i="30" s="1"/>
  <c r="K45" i="30"/>
  <c r="L46" i="30"/>
  <c r="J48" i="30"/>
  <c r="G23" i="30" s="1"/>
  <c r="K49" i="30"/>
  <c r="G49" i="30"/>
  <c r="C24" i="30" s="1"/>
  <c r="C49" i="30"/>
  <c r="B24" i="30" s="1"/>
  <c r="H48" i="30"/>
  <c r="D23" i="30" s="1"/>
  <c r="D48" i="30"/>
  <c r="I47" i="30"/>
  <c r="E47" i="30"/>
  <c r="A47" i="30"/>
  <c r="A22" i="30" s="1"/>
  <c r="F46" i="30"/>
  <c r="B46" i="30"/>
  <c r="F21" i="30" s="1"/>
  <c r="G45" i="30"/>
  <c r="C20" i="30" s="1"/>
  <c r="C45" i="30"/>
  <c r="B20" i="30" s="1"/>
  <c r="L45" i="30"/>
  <c r="J47" i="30"/>
  <c r="G22" i="30" s="1"/>
  <c r="K48" i="30"/>
  <c r="L49" i="30"/>
  <c r="F49" i="30"/>
  <c r="B49" i="30"/>
  <c r="F24" i="30" s="1"/>
  <c r="G48" i="30"/>
  <c r="C23" i="30" s="1"/>
  <c r="C48" i="30"/>
  <c r="B23" i="30" s="1"/>
  <c r="H47" i="30"/>
  <c r="D22" i="30" s="1"/>
  <c r="D47" i="30"/>
  <c r="I46" i="30"/>
  <c r="E46" i="30"/>
  <c r="A46" i="30"/>
  <c r="F45" i="30"/>
  <c r="B45" i="30"/>
  <c r="F20" i="30" s="1"/>
  <c r="J46" i="30"/>
  <c r="G21" i="30" s="1"/>
  <c r="K47" i="30"/>
  <c r="L48" i="30"/>
  <c r="I49" i="30"/>
  <c r="E49" i="30"/>
  <c r="A49" i="30"/>
  <c r="A24" i="30" s="1"/>
  <c r="F48" i="30"/>
  <c r="B48" i="30"/>
  <c r="F23" i="30" s="1"/>
  <c r="G47" i="30"/>
  <c r="C22" i="30" s="1"/>
  <c r="C47" i="30"/>
  <c r="B22" i="30" s="1"/>
  <c r="H46" i="30"/>
  <c r="D21" i="30" s="1"/>
  <c r="D46" i="30"/>
  <c r="I45" i="30"/>
  <c r="E45" i="30"/>
  <c r="A45" i="30"/>
  <c r="A20" i="30" s="1"/>
  <c r="J45" i="30"/>
  <c r="K46" i="30"/>
  <c r="L47" i="30"/>
  <c r="J49" i="30"/>
  <c r="G24" i="30" s="1"/>
  <c r="H49" i="30"/>
  <c r="D24" i="30" s="1"/>
  <c r="D49" i="30"/>
  <c r="I48" i="30"/>
  <c r="E48" i="30"/>
  <c r="A48" i="30"/>
  <c r="A23" i="30" s="1"/>
  <c r="F47" i="30"/>
  <c r="B47" i="30"/>
  <c r="F22" i="30" s="1"/>
  <c r="G46" i="30"/>
  <c r="C21" i="30" s="1"/>
  <c r="C46" i="30"/>
  <c r="B21" i="30" s="1"/>
  <c r="H45" i="30"/>
  <c r="D20" i="30" s="1"/>
  <c r="D45" i="30"/>
  <c r="A22" i="22"/>
  <c r="G62" i="33" l="1"/>
  <c r="G76" i="33"/>
  <c r="C76" i="33"/>
  <c r="G63" i="33"/>
  <c r="G61" i="33"/>
  <c r="E61" i="33"/>
  <c r="E63" i="33"/>
  <c r="E76" i="33"/>
  <c r="E98" i="33"/>
  <c r="D62" i="33"/>
  <c r="E62" i="33"/>
  <c r="D95" i="33"/>
  <c r="E95" i="33"/>
  <c r="E97" i="33"/>
  <c r="D96" i="33"/>
  <c r="E96" i="33"/>
  <c r="D97" i="33"/>
  <c r="D98" i="33"/>
  <c r="D76" i="33"/>
  <c r="D63" i="33"/>
  <c r="D61" i="33"/>
  <c r="E20" i="30"/>
  <c r="E23" i="30"/>
  <c r="F62" i="33" s="1"/>
  <c r="E24" i="30"/>
  <c r="F63" i="33" s="1"/>
  <c r="E22" i="30"/>
  <c r="F61" i="33" s="1"/>
  <c r="E21" i="30"/>
  <c r="H62" i="33"/>
  <c r="G96" i="33"/>
  <c r="H76" i="33"/>
  <c r="H63" i="33"/>
  <c r="H61" i="33"/>
  <c r="G95" i="33"/>
  <c r="G97" i="33"/>
  <c r="G98" i="33"/>
  <c r="A30" i="30"/>
  <c r="A29" i="30"/>
  <c r="A31" i="30"/>
  <c r="F96" i="33"/>
  <c r="F97" i="33"/>
  <c r="F98" i="33"/>
  <c r="F95" i="33"/>
  <c r="C96" i="33"/>
  <c r="C97" i="33"/>
  <c r="C98" i="33"/>
  <c r="F76" i="33"/>
  <c r="A21" i="30"/>
  <c r="G60" i="33" s="1"/>
  <c r="C63" i="33"/>
  <c r="C61" i="33"/>
  <c r="C62" i="33"/>
  <c r="E79" i="33" l="1"/>
  <c r="G79" i="33"/>
  <c r="E77" i="33"/>
  <c r="G77" i="33"/>
  <c r="E78" i="33"/>
  <c r="G78" i="33"/>
  <c r="E60" i="33"/>
  <c r="C60" i="33"/>
  <c r="H78" i="33"/>
  <c r="D78" i="33"/>
  <c r="H79" i="33"/>
  <c r="D79" i="33"/>
  <c r="H77" i="33"/>
  <c r="D77" i="33"/>
  <c r="H60" i="33"/>
  <c r="D60" i="33"/>
  <c r="C77" i="33"/>
  <c r="F77" i="33"/>
  <c r="C79" i="33"/>
  <c r="F79" i="33"/>
  <c r="C78" i="33"/>
  <c r="F78" i="33"/>
  <c r="F60" i="33"/>
  <c r="AP22" i="22"/>
  <c r="P22" i="22" l="1"/>
  <c r="O22" i="22"/>
  <c r="AV22" i="22" l="1"/>
  <c r="AL22" i="22"/>
  <c r="AG22" i="22"/>
  <c r="AJ22" i="22"/>
  <c r="AI22" i="22"/>
  <c r="X22" i="22"/>
  <c r="T22" i="22"/>
  <c r="S22" i="22"/>
  <c r="N22" i="22"/>
  <c r="M22" i="22"/>
  <c r="H22" i="22"/>
  <c r="G22" i="22"/>
  <c r="F22" i="22"/>
  <c r="E22" i="22"/>
  <c r="D22" i="22"/>
  <c r="C22" i="22"/>
  <c r="B22" i="22"/>
  <c r="A62" i="23" l="1"/>
  <c r="J32" i="23"/>
  <c r="J33" i="23"/>
  <c r="J34" i="23"/>
  <c r="J42" i="23"/>
  <c r="J30" i="23"/>
  <c r="A20" i="23"/>
  <c r="I30" i="23" l="1"/>
  <c r="C221" i="23" l="1"/>
  <c r="D64" i="23"/>
  <c r="Y64" i="22" s="1"/>
  <c r="Q30" i="23"/>
  <c r="AA89" i="22"/>
  <c r="AD89" i="22" s="1"/>
  <c r="Z89" i="22"/>
  <c r="D52" i="23"/>
  <c r="H52" i="23" s="1"/>
  <c r="D53" i="23"/>
  <c r="H53" i="23" s="1"/>
  <c r="D55" i="23"/>
  <c r="H55" i="23" s="1"/>
  <c r="D57" i="23"/>
  <c r="H57" i="23" s="1"/>
  <c r="D58" i="23"/>
  <c r="H58" i="23" s="1"/>
  <c r="I64" i="23" l="1"/>
  <c r="AB64" i="22" s="1"/>
  <c r="I66" i="23"/>
  <c r="G221" i="23"/>
  <c r="G228" i="23" s="1"/>
  <c r="V81" i="10" s="1"/>
  <c r="C228" i="23"/>
  <c r="AC89" i="22"/>
  <c r="AS89" i="22"/>
  <c r="D66" i="23"/>
  <c r="Y58" i="22"/>
  <c r="Y90" i="22"/>
  <c r="Y57" i="22"/>
  <c r="Y54" i="22"/>
  <c r="Y84" i="22"/>
  <c r="H59" i="23"/>
  <c r="AA70" i="22"/>
  <c r="AD70" i="22" s="1"/>
  <c r="AA26" i="22"/>
  <c r="AD26" i="22" s="1"/>
  <c r="AA82" i="22"/>
  <c r="AD82" i="22" s="1"/>
  <c r="AA25" i="22"/>
  <c r="AD25" i="22" s="1"/>
  <c r="AA52" i="22"/>
  <c r="AD52" i="22" s="1"/>
  <c r="AA74" i="22"/>
  <c r="AD74" i="22" s="1"/>
  <c r="AA46" i="22"/>
  <c r="AD46" i="22" s="1"/>
  <c r="AA49" i="22"/>
  <c r="AD49" i="22" s="1"/>
  <c r="AA51" i="22"/>
  <c r="AD51" i="22" s="1"/>
  <c r="AA76" i="22"/>
  <c r="AD76" i="22" s="1"/>
  <c r="AA78" i="22"/>
  <c r="AD78" i="22" s="1"/>
  <c r="AA48" i="22"/>
  <c r="AD48" i="22" s="1"/>
  <c r="AA86" i="22"/>
  <c r="AD86" i="22" s="1"/>
  <c r="AA83" i="22"/>
  <c r="AD83" i="22" s="1"/>
  <c r="AA39" i="22"/>
  <c r="AD39" i="22" s="1"/>
  <c r="AA68" i="22"/>
  <c r="AD68" i="22" s="1"/>
  <c r="AA71" i="22"/>
  <c r="AD71" i="22" s="1"/>
  <c r="AA81" i="22"/>
  <c r="AD81" i="22" s="1"/>
  <c r="AA87" i="22"/>
  <c r="AD87" i="22" s="1"/>
  <c r="AA73" i="22"/>
  <c r="AD73" i="22" s="1"/>
  <c r="AA63" i="22"/>
  <c r="AD63" i="22" s="1"/>
  <c r="AA42" i="22"/>
  <c r="AD42" i="22" s="1"/>
  <c r="AA45" i="22"/>
  <c r="AD45" i="22" s="1"/>
  <c r="AA67" i="22"/>
  <c r="AD67" i="22" s="1"/>
  <c r="AA38" i="22"/>
  <c r="AD38" i="22" s="1"/>
  <c r="AA77" i="22"/>
  <c r="AD77" i="22" s="1"/>
  <c r="AA37" i="22"/>
  <c r="AD37" i="22" s="1"/>
  <c r="AA79" i="22"/>
  <c r="AD79" i="22" s="1"/>
  <c r="AA66" i="22"/>
  <c r="AD66" i="22" s="1"/>
  <c r="AA29" i="22"/>
  <c r="AD29" i="22" s="1"/>
  <c r="AA36" i="22"/>
  <c r="AD36" i="22" s="1"/>
  <c r="AA50" i="22"/>
  <c r="AD50" i="22" s="1"/>
  <c r="AA59" i="22"/>
  <c r="AD59" i="22" s="1"/>
  <c r="AA47" i="22"/>
  <c r="AD47" i="22" s="1"/>
  <c r="AA32" i="22"/>
  <c r="AD32" i="22" s="1"/>
  <c r="AA62" i="22"/>
  <c r="AD62" i="22" s="1"/>
  <c r="AA35" i="22"/>
  <c r="AD35" i="22" s="1"/>
  <c r="AA75" i="22"/>
  <c r="AD75" i="22" s="1"/>
  <c r="AA60" i="22"/>
  <c r="AD60" i="22" s="1"/>
  <c r="AA27" i="22"/>
  <c r="AD27" i="22" s="1"/>
  <c r="AA85" i="22"/>
  <c r="AD85" i="22" s="1"/>
  <c r="AA40" i="22"/>
  <c r="AD40" i="22" s="1"/>
  <c r="AA56" i="22"/>
  <c r="AD56" i="22" s="1"/>
  <c r="AA65" i="22"/>
  <c r="AD65" i="22" s="1"/>
  <c r="AA43" i="22"/>
  <c r="AD43" i="22" s="1"/>
  <c r="AA28" i="22"/>
  <c r="AD28" i="22" s="1"/>
  <c r="AA69" i="22"/>
  <c r="AD69" i="22" s="1"/>
  <c r="AA31" i="22"/>
  <c r="AD31" i="22" s="1"/>
  <c r="AA72" i="22"/>
  <c r="AD72" i="22" s="1"/>
  <c r="AA55" i="22"/>
  <c r="AD55" i="22" s="1"/>
  <c r="AA24" i="22"/>
  <c r="AD24" i="22" s="1"/>
  <c r="AA53" i="22"/>
  <c r="AD53" i="22" s="1"/>
  <c r="AA33" i="22"/>
  <c r="AD33" i="22" s="1"/>
  <c r="AA23" i="22"/>
  <c r="AD23" i="22" s="1"/>
  <c r="AA41" i="22"/>
  <c r="AD41" i="22" s="1"/>
  <c r="AA80" i="22"/>
  <c r="AD80" i="22" s="1"/>
  <c r="AA61" i="22"/>
  <c r="AD61" i="22" s="1"/>
  <c r="AA44" i="22"/>
  <c r="AD44" i="22" s="1"/>
  <c r="D151" i="23"/>
  <c r="G156" i="23" s="1"/>
  <c r="AA91" i="22"/>
  <c r="AD91" i="22" s="1"/>
  <c r="AA34" i="22"/>
  <c r="AD34" i="22" s="1"/>
  <c r="AA30" i="22"/>
  <c r="AD30" i="22" s="1"/>
  <c r="AA88" i="22"/>
  <c r="AD88" i="22" s="1"/>
  <c r="Y25" i="22"/>
  <c r="Y29" i="22"/>
  <c r="Y33" i="22"/>
  <c r="Y37" i="22"/>
  <c r="Y41" i="22"/>
  <c r="Y45" i="22"/>
  <c r="Y48" i="22"/>
  <c r="Y52" i="22"/>
  <c r="Y62" i="22"/>
  <c r="Y65" i="22"/>
  <c r="Y69" i="22"/>
  <c r="Y76" i="22"/>
  <c r="Y80" i="22"/>
  <c r="Y85" i="22"/>
  <c r="Y89" i="22"/>
  <c r="Y28" i="22"/>
  <c r="Y40" i="22"/>
  <c r="Y51" i="22"/>
  <c r="Y75" i="22"/>
  <c r="Y88" i="22"/>
  <c r="Y26" i="22"/>
  <c r="Y30" i="22"/>
  <c r="Y34" i="22"/>
  <c r="Y38" i="22"/>
  <c r="Y42" i="22"/>
  <c r="Y46" i="22"/>
  <c r="Y49" i="22"/>
  <c r="Y53" i="22"/>
  <c r="Y59" i="22"/>
  <c r="Y63" i="22"/>
  <c r="Y66" i="22"/>
  <c r="Y70" i="22"/>
  <c r="Y73" i="22"/>
  <c r="Y77" i="22"/>
  <c r="Y81" i="22"/>
  <c r="Y86" i="22"/>
  <c r="Y91" i="22"/>
  <c r="Y24" i="22"/>
  <c r="Y36" i="22"/>
  <c r="Y61" i="22"/>
  <c r="Y68" i="22"/>
  <c r="Y79" i="22"/>
  <c r="Y27" i="22"/>
  <c r="Y31" i="22"/>
  <c r="Y35" i="22"/>
  <c r="Y39" i="22"/>
  <c r="Y43" i="22"/>
  <c r="Y47" i="22"/>
  <c r="Y50" i="22"/>
  <c r="Y55" i="22"/>
  <c r="Y60" i="22"/>
  <c r="Y67" i="22"/>
  <c r="Y71" i="22"/>
  <c r="Y74" i="22"/>
  <c r="Y78" i="22"/>
  <c r="Y82" i="22"/>
  <c r="Y87" i="22"/>
  <c r="Y23" i="22"/>
  <c r="Y32" i="22"/>
  <c r="Y44" i="22"/>
  <c r="Y56" i="22"/>
  <c r="Y72" i="22"/>
  <c r="Y83" i="22"/>
  <c r="Z91" i="22"/>
  <c r="Z88" i="22"/>
  <c r="Z23" i="22"/>
  <c r="Z27" i="22"/>
  <c r="Z30" i="22"/>
  <c r="Z34" i="22"/>
  <c r="Z40" i="22"/>
  <c r="Z44" i="22"/>
  <c r="Z50" i="22"/>
  <c r="Z55" i="22"/>
  <c r="Z60" i="22"/>
  <c r="Z65" i="22"/>
  <c r="Z69" i="22"/>
  <c r="Z76" i="22"/>
  <c r="Z80" i="22"/>
  <c r="Z85" i="22"/>
  <c r="Z24" i="22"/>
  <c r="Z31" i="22"/>
  <c r="Z35" i="22"/>
  <c r="Z37" i="22"/>
  <c r="Z41" i="22"/>
  <c r="Z45" i="22"/>
  <c r="Z51" i="22"/>
  <c r="Z56" i="22"/>
  <c r="Z61" i="22"/>
  <c r="Z66" i="22"/>
  <c r="Z70" i="22"/>
  <c r="Z73" i="22"/>
  <c r="Z77" i="22"/>
  <c r="Z81" i="22"/>
  <c r="Z86" i="22"/>
  <c r="Z25" i="22"/>
  <c r="Z28" i="22"/>
  <c r="Z32" i="22"/>
  <c r="Z38" i="22"/>
  <c r="Z42" i="22"/>
  <c r="Z46" i="22"/>
  <c r="Z48" i="22"/>
  <c r="Z52" i="22"/>
  <c r="Z62" i="22"/>
  <c r="Z67" i="22"/>
  <c r="Z71" i="22"/>
  <c r="Z74" i="22"/>
  <c r="Z78" i="22"/>
  <c r="Z82" i="22"/>
  <c r="Z87" i="22"/>
  <c r="Z26" i="22"/>
  <c r="Z29" i="22"/>
  <c r="Z33" i="22"/>
  <c r="Z36" i="22"/>
  <c r="Z39" i="22"/>
  <c r="Z43" i="22"/>
  <c r="Z47" i="22"/>
  <c r="Z49" i="22"/>
  <c r="Z53" i="22"/>
  <c r="Z59" i="22"/>
  <c r="Z63" i="22"/>
  <c r="Z68" i="22"/>
  <c r="Z72" i="22"/>
  <c r="Z75" i="22"/>
  <c r="Z79" i="22"/>
  <c r="Z83" i="22"/>
  <c r="AR35" i="22" l="1"/>
  <c r="AR26" i="22"/>
  <c r="AR71" i="22"/>
  <c r="AR80" i="22"/>
  <c r="AR91" i="22"/>
  <c r="AR59" i="22"/>
  <c r="AR41" i="22"/>
  <c r="AR23" i="22"/>
  <c r="AR56" i="22"/>
  <c r="AR55" i="22"/>
  <c r="AR79" i="22"/>
  <c r="AR77" i="22"/>
  <c r="AR46" i="22"/>
  <c r="AR51" i="22"/>
  <c r="AR61" i="22"/>
  <c r="AR70" i="22"/>
  <c r="AR38" i="22"/>
  <c r="AR28" i="22"/>
  <c r="AR82" i="22"/>
  <c r="AR47" i="22"/>
  <c r="AR54" i="22"/>
  <c r="AT54" i="22" s="1"/>
  <c r="AR44" i="22"/>
  <c r="AR67" i="22"/>
  <c r="AR31" i="22"/>
  <c r="AR86" i="22"/>
  <c r="AR53" i="22"/>
  <c r="AR88" i="22"/>
  <c r="AR76" i="22"/>
  <c r="AR37" i="22"/>
  <c r="AR32" i="22"/>
  <c r="AR60" i="22"/>
  <c r="AR27" i="22"/>
  <c r="AR81" i="22"/>
  <c r="AR49" i="22"/>
  <c r="AR75" i="22"/>
  <c r="AR69" i="22"/>
  <c r="AR87" i="22"/>
  <c r="AR50" i="22"/>
  <c r="AR68" i="22"/>
  <c r="AR73" i="22"/>
  <c r="AR42" i="22"/>
  <c r="AR40" i="22"/>
  <c r="AR62" i="22"/>
  <c r="AR25" i="22"/>
  <c r="AR83" i="22"/>
  <c r="AR78" i="22"/>
  <c r="AR43" i="22"/>
  <c r="AR36" i="22"/>
  <c r="AR66" i="22"/>
  <c r="AR34" i="22"/>
  <c r="AR72" i="22"/>
  <c r="AR74" i="22"/>
  <c r="AR39" i="22"/>
  <c r="AR24" i="22"/>
  <c r="AR63" i="22"/>
  <c r="AR30" i="22"/>
  <c r="AR85" i="22"/>
  <c r="AR33" i="22"/>
  <c r="AR65" i="22"/>
  <c r="AR89" i="22"/>
  <c r="AT89" i="22" s="1"/>
  <c r="AR45" i="22"/>
  <c r="AR64" i="22"/>
  <c r="AT64" i="22" s="1"/>
  <c r="AR90" i="22"/>
  <c r="AT90" i="22" s="1"/>
  <c r="AR29" i="22"/>
  <c r="AR52" i="22"/>
  <c r="AR48" i="22"/>
  <c r="AR84" i="22"/>
  <c r="AT84" i="22" s="1"/>
  <c r="AR57" i="22"/>
  <c r="AT57" i="22" s="1"/>
  <c r="AR58" i="22"/>
  <c r="AT58" i="22" s="1"/>
  <c r="K19" i="10"/>
  <c r="H232" i="23"/>
  <c r="R82" i="10" s="1"/>
  <c r="D24" i="33" s="1"/>
  <c r="R83" i="10"/>
  <c r="D25" i="33" s="1"/>
  <c r="H228" i="23"/>
  <c r="R81" i="10" s="1"/>
  <c r="D23" i="33" s="1"/>
  <c r="AC28" i="22"/>
  <c r="AS28" i="22"/>
  <c r="AC83" i="22"/>
  <c r="AS83" i="22"/>
  <c r="AC79" i="22"/>
  <c r="AS79" i="22"/>
  <c r="AC49" i="22"/>
  <c r="AS49" i="22"/>
  <c r="AC87" i="22"/>
  <c r="AS87" i="22"/>
  <c r="AC48" i="22"/>
  <c r="AS48" i="22"/>
  <c r="AC81" i="22"/>
  <c r="AS81" i="22"/>
  <c r="AC51" i="22"/>
  <c r="AS51" i="22"/>
  <c r="AC80" i="22"/>
  <c r="AS80" i="22"/>
  <c r="AC40" i="22"/>
  <c r="AS40" i="22"/>
  <c r="AC67" i="22"/>
  <c r="AS67" i="22"/>
  <c r="AC88" i="22"/>
  <c r="AS88" i="22"/>
  <c r="AC86" i="22"/>
  <c r="AS86" i="22"/>
  <c r="AC75" i="22"/>
  <c r="AS75" i="22"/>
  <c r="AC47" i="22"/>
  <c r="AS47" i="22"/>
  <c r="AC82" i="22"/>
  <c r="AS82" i="22"/>
  <c r="AC46" i="22"/>
  <c r="AS46" i="22"/>
  <c r="AC77" i="22"/>
  <c r="AS77" i="22"/>
  <c r="AC45" i="22"/>
  <c r="AS45" i="22"/>
  <c r="AC76" i="22"/>
  <c r="AS76" i="22"/>
  <c r="AC34" i="22"/>
  <c r="AS34" i="22"/>
  <c r="AC63" i="22"/>
  <c r="AS63" i="22"/>
  <c r="AC26" i="22"/>
  <c r="AS26" i="22"/>
  <c r="AC42" i="22"/>
  <c r="AS42" i="22"/>
  <c r="AC69" i="22"/>
  <c r="AS69" i="22"/>
  <c r="AC53" i="22"/>
  <c r="AS53" i="22"/>
  <c r="AC85" i="22"/>
  <c r="AS85" i="22"/>
  <c r="AC43" i="22"/>
  <c r="AS43" i="22"/>
  <c r="AC73" i="22"/>
  <c r="AS73" i="22"/>
  <c r="AC41" i="22"/>
  <c r="AS41" i="22"/>
  <c r="AC68" i="22"/>
  <c r="AS68" i="22"/>
  <c r="AC74" i="22"/>
  <c r="AS74" i="22"/>
  <c r="AC70" i="22"/>
  <c r="AS70" i="22"/>
  <c r="AC37" i="22"/>
  <c r="AS37" i="22"/>
  <c r="AT37" i="22" s="1"/>
  <c r="AC65" i="22"/>
  <c r="AS65" i="22"/>
  <c r="AC27" i="22"/>
  <c r="AS27" i="22"/>
  <c r="AC33" i="22"/>
  <c r="AS33" i="22"/>
  <c r="AC55" i="22"/>
  <c r="AS55" i="22"/>
  <c r="AC52" i="22"/>
  <c r="AS52" i="22"/>
  <c r="AC56" i="22"/>
  <c r="AS56" i="22"/>
  <c r="AT56" i="22" s="1"/>
  <c r="AC44" i="22"/>
  <c r="AS44" i="22"/>
  <c r="AC72" i="22"/>
  <c r="AS72" i="22"/>
  <c r="AC78" i="22"/>
  <c r="AS78" i="22"/>
  <c r="AC30" i="22"/>
  <c r="AS30" i="22"/>
  <c r="AC39" i="22"/>
  <c r="AS39" i="22"/>
  <c r="AC38" i="22"/>
  <c r="AS38" i="22"/>
  <c r="AC36" i="22"/>
  <c r="AS36" i="22"/>
  <c r="AC71" i="22"/>
  <c r="AS71" i="22"/>
  <c r="AT71" i="22" s="1"/>
  <c r="AC32" i="22"/>
  <c r="AS32" i="22"/>
  <c r="AC66" i="22"/>
  <c r="AS66" i="22"/>
  <c r="AC35" i="22"/>
  <c r="AS35" i="22"/>
  <c r="AC60" i="22"/>
  <c r="AS60" i="22"/>
  <c r="AC23" i="22"/>
  <c r="AS23" i="22"/>
  <c r="AC31" i="22"/>
  <c r="AS31" i="22"/>
  <c r="AC59" i="22"/>
  <c r="AS59" i="22"/>
  <c r="AC29" i="22"/>
  <c r="AS29" i="22"/>
  <c r="AC62" i="22"/>
  <c r="AS62" i="22"/>
  <c r="AC25" i="22"/>
  <c r="AS25" i="22"/>
  <c r="AC61" i="22"/>
  <c r="AS61" i="22"/>
  <c r="AT61" i="22" s="1"/>
  <c r="AC24" i="22"/>
  <c r="AS24" i="22"/>
  <c r="AC50" i="22"/>
  <c r="AS50" i="22"/>
  <c r="AC91" i="22"/>
  <c r="AS91" i="22"/>
  <c r="AT91" i="22" s="1"/>
  <c r="V83" i="10"/>
  <c r="F25" i="33" s="1"/>
  <c r="F23" i="33"/>
  <c r="AB87" i="22"/>
  <c r="AB55" i="22"/>
  <c r="AB79" i="22"/>
  <c r="AB77" i="22"/>
  <c r="AB46" i="22"/>
  <c r="AB84" i="22"/>
  <c r="AB54" i="22"/>
  <c r="AB57" i="22"/>
  <c r="AB90" i="22"/>
  <c r="AB58" i="22"/>
  <c r="AB37" i="22"/>
  <c r="AB82" i="22"/>
  <c r="AB50" i="22"/>
  <c r="AB68" i="22"/>
  <c r="AB73" i="22"/>
  <c r="AB42" i="22"/>
  <c r="AB51" i="22"/>
  <c r="AB65" i="22"/>
  <c r="AB33" i="22"/>
  <c r="AB83" i="22"/>
  <c r="AB78" i="22"/>
  <c r="AB47" i="22"/>
  <c r="AB61" i="22"/>
  <c r="AB70" i="22"/>
  <c r="AB38" i="22"/>
  <c r="AB40" i="22"/>
  <c r="AB62" i="22"/>
  <c r="AB29" i="22"/>
  <c r="AB74" i="22"/>
  <c r="AB66" i="22"/>
  <c r="AB39" i="22"/>
  <c r="AB89" i="22"/>
  <c r="AB44" i="22"/>
  <c r="AB67" i="22"/>
  <c r="AB35" i="22"/>
  <c r="AB91" i="22"/>
  <c r="AB59" i="22"/>
  <c r="AB26" i="22"/>
  <c r="AB85" i="22"/>
  <c r="AB48" i="22"/>
  <c r="AB69" i="22"/>
  <c r="AB43" i="22"/>
  <c r="AB34" i="22"/>
  <c r="AB25" i="22"/>
  <c r="AB71" i="22"/>
  <c r="AB63" i="22"/>
  <c r="AB52" i="22"/>
  <c r="AB32" i="22"/>
  <c r="AB31" i="22"/>
  <c r="AB86" i="22"/>
  <c r="AB53" i="22"/>
  <c r="AB88" i="22"/>
  <c r="AB80" i="22"/>
  <c r="AB45" i="22"/>
  <c r="AB72" i="22"/>
  <c r="AB36" i="22"/>
  <c r="AB28" i="22"/>
  <c r="AB56" i="22"/>
  <c r="AB24" i="22"/>
  <c r="AB30" i="22"/>
  <c r="AB23" i="22"/>
  <c r="AB60" i="22"/>
  <c r="AB27" i="22"/>
  <c r="AB81" i="22"/>
  <c r="AB49" i="22"/>
  <c r="AB75" i="22"/>
  <c r="AB76" i="22"/>
  <c r="AB41" i="22"/>
  <c r="I124" i="35"/>
  <c r="I98" i="23"/>
  <c r="I119" i="35"/>
  <c r="I134" i="35" s="1"/>
  <c r="I59" i="23"/>
  <c r="I141" i="23" s="1"/>
  <c r="F156" i="23"/>
  <c r="F66" i="23"/>
  <c r="F67" i="23"/>
  <c r="F211" i="23" s="1"/>
  <c r="I140" i="23"/>
  <c r="F64" i="23"/>
  <c r="F205" i="23" s="1"/>
  <c r="F65" i="23"/>
  <c r="F208" i="23" s="1"/>
  <c r="AT62" i="22" l="1"/>
  <c r="AT67" i="22"/>
  <c r="AT68" i="22"/>
  <c r="AT83" i="22"/>
  <c r="AT80" i="22"/>
  <c r="AT35" i="22"/>
  <c r="AT26" i="22"/>
  <c r="AT28" i="22"/>
  <c r="AT41" i="22"/>
  <c r="AT31" i="22"/>
  <c r="AT59" i="22"/>
  <c r="AT50" i="22"/>
  <c r="AT23" i="22"/>
  <c r="AT32" i="22"/>
  <c r="AT44" i="22"/>
  <c r="AT70" i="22"/>
  <c r="AT46" i="22"/>
  <c r="AT78" i="22"/>
  <c r="AT47" i="22"/>
  <c r="AT55" i="22"/>
  <c r="AT53" i="22"/>
  <c r="AT77" i="22"/>
  <c r="AT24" i="22"/>
  <c r="AT51" i="22"/>
  <c r="AT42" i="22"/>
  <c r="AT66" i="22"/>
  <c r="AT38" i="22"/>
  <c r="AT86" i="22"/>
  <c r="AT82" i="22"/>
  <c r="AT88" i="22"/>
  <c r="AT79" i="22"/>
  <c r="AT72" i="22"/>
  <c r="AT75" i="22"/>
  <c r="AT60" i="22"/>
  <c r="AT43" i="22"/>
  <c r="AT63" i="22"/>
  <c r="AT85" i="22"/>
  <c r="AT81" i="22"/>
  <c r="AT40" i="22"/>
  <c r="AT69" i="22"/>
  <c r="AT74" i="22"/>
  <c r="AT76" i="22"/>
  <c r="AT25" i="22"/>
  <c r="AT39" i="22"/>
  <c r="AT33" i="22"/>
  <c r="AT73" i="22"/>
  <c r="AT34" i="22"/>
  <c r="AT87" i="22"/>
  <c r="AT30" i="22"/>
  <c r="AT27" i="22"/>
  <c r="AT49" i="22"/>
  <c r="AT36" i="22"/>
  <c r="AT45" i="22"/>
  <c r="AT65" i="22"/>
  <c r="AT48" i="22"/>
  <c r="AT52" i="22"/>
  <c r="AT29" i="22"/>
  <c r="I21" i="10"/>
  <c r="M97" i="23"/>
  <c r="R65" i="10"/>
  <c r="D19" i="33"/>
  <c r="G208" i="23"/>
  <c r="D18" i="33" s="1"/>
  <c r="G205" i="23"/>
  <c r="G211" i="23"/>
  <c r="I142" i="23"/>
  <c r="G162" i="23" s="1"/>
  <c r="H185" i="23"/>
  <c r="E198" i="23" s="1"/>
  <c r="H184" i="23"/>
  <c r="E197" i="23" s="1"/>
  <c r="H186" i="23"/>
  <c r="E199" i="23" s="1"/>
  <c r="M98" i="23" l="1"/>
  <c r="L205" i="23"/>
  <c r="D17" i="33"/>
  <c r="L211" i="23"/>
  <c r="D20" i="33"/>
  <c r="L208" i="23"/>
  <c r="R66" i="10"/>
  <c r="R63" i="10"/>
  <c r="R64" i="10"/>
  <c r="F161" i="23"/>
  <c r="F162" i="23"/>
  <c r="G161" i="23"/>
  <c r="M147" i="35" l="1"/>
  <c r="F164" i="23"/>
  <c r="Q147" i="35" l="1"/>
  <c r="M104" i="23" s="1"/>
  <c r="M103" i="23"/>
  <c r="R30" i="23"/>
  <c r="AB31" i="7"/>
  <c r="AB30" i="7"/>
  <c r="AB17" i="7"/>
  <c r="AB18" i="7"/>
  <c r="AB19" i="7"/>
  <c r="AB20" i="7"/>
  <c r="AB21" i="7"/>
  <c r="AB22" i="7"/>
  <c r="AB23" i="7"/>
  <c r="AB24" i="7"/>
  <c r="AB25" i="7"/>
  <c r="AB26" i="7"/>
  <c r="AB27" i="7"/>
  <c r="AB28" i="7"/>
  <c r="AB29" i="7"/>
  <c r="AB16" i="7"/>
  <c r="AB25" i="6"/>
  <c r="AB24" i="6"/>
  <c r="AB22" i="6"/>
  <c r="AB21" i="6"/>
  <c r="AB20" i="6"/>
  <c r="AB19" i="6"/>
  <c r="AB38" i="6"/>
  <c r="AB37" i="6"/>
  <c r="AB35" i="6"/>
  <c r="AB47" i="6"/>
  <c r="AB46" i="6"/>
  <c r="O50" i="6"/>
  <c r="O60" i="6" s="1"/>
  <c r="O27" i="6"/>
  <c r="O30" i="6" s="1"/>
  <c r="O36" i="6" s="1"/>
  <c r="J64" i="23" l="1"/>
  <c r="AH64" i="22" s="1"/>
  <c r="J66" i="23"/>
  <c r="L66" i="23" s="1"/>
  <c r="F20" i="33"/>
  <c r="H20" i="33" s="1"/>
  <c r="S66" i="10"/>
  <c r="AJ89" i="22"/>
  <c r="AJ91" i="22"/>
  <c r="AJ88" i="22"/>
  <c r="AJ82" i="22"/>
  <c r="AJ32" i="22"/>
  <c r="AJ66" i="22"/>
  <c r="AJ36" i="22"/>
  <c r="AJ78" i="22"/>
  <c r="AJ26" i="22"/>
  <c r="AJ65" i="22"/>
  <c r="AJ31" i="22"/>
  <c r="AJ74" i="22"/>
  <c r="AJ86" i="22"/>
  <c r="AJ60" i="22"/>
  <c r="AJ85" i="22"/>
  <c r="AJ87" i="22"/>
  <c r="AJ38" i="22"/>
  <c r="AJ67" i="22"/>
  <c r="AJ41" i="22"/>
  <c r="AJ24" i="22"/>
  <c r="AJ47" i="22"/>
  <c r="AJ46" i="22"/>
  <c r="AJ69" i="22"/>
  <c r="AJ71" i="22"/>
  <c r="AJ44" i="22"/>
  <c r="AJ70" i="22"/>
  <c r="AJ49" i="22"/>
  <c r="AJ76" i="22"/>
  <c r="AJ62" i="22"/>
  <c r="AJ43" i="22"/>
  <c r="AJ72" i="22"/>
  <c r="AJ51" i="22"/>
  <c r="AJ39" i="22"/>
  <c r="AJ68" i="22"/>
  <c r="AJ73" i="22"/>
  <c r="AJ77" i="22"/>
  <c r="AJ53" i="22"/>
  <c r="AJ80" i="22"/>
  <c r="AJ79" i="22"/>
  <c r="AJ40" i="22"/>
  <c r="AJ75" i="22"/>
  <c r="AJ42" i="22"/>
  <c r="AJ30" i="22"/>
  <c r="AJ23" i="22"/>
  <c r="AJ59" i="22"/>
  <c r="AJ37" i="22"/>
  <c r="AJ29" i="22"/>
  <c r="AJ56" i="22"/>
  <c r="AJ52" i="22"/>
  <c r="AJ35" i="22"/>
  <c r="AJ28" i="22"/>
  <c r="AJ55" i="22"/>
  <c r="AJ48" i="22"/>
  <c r="AJ25" i="22"/>
  <c r="AJ27" i="22"/>
  <c r="AJ50" i="22"/>
  <c r="AJ63" i="22"/>
  <c r="AJ45" i="22"/>
  <c r="AJ33" i="22"/>
  <c r="AJ61" i="22"/>
  <c r="AJ81" i="22"/>
  <c r="AJ34" i="22"/>
  <c r="AJ83" i="22"/>
  <c r="X75" i="6"/>
  <c r="W75" i="6"/>
  <c r="S75" i="6"/>
  <c r="Z75" i="6"/>
  <c r="V75" i="6"/>
  <c r="R75" i="6"/>
  <c r="T75" i="6"/>
  <c r="P75" i="6"/>
  <c r="AA75" i="6"/>
  <c r="Y75" i="6"/>
  <c r="U75" i="6"/>
  <c r="Q75" i="6"/>
  <c r="O41" i="6"/>
  <c r="O43" i="6" s="1"/>
  <c r="O61" i="6" s="1"/>
  <c r="AQ39" i="6"/>
  <c r="AV39" i="6"/>
  <c r="AV59" i="6" s="1"/>
  <c r="AN39" i="6"/>
  <c r="AN59" i="6" s="1"/>
  <c r="AV49" i="6"/>
  <c r="AR49" i="6"/>
  <c r="AR60" i="6" s="1"/>
  <c r="AM49" i="6"/>
  <c r="AU48" i="6"/>
  <c r="AR23" i="6"/>
  <c r="AN48" i="6"/>
  <c r="AT23" i="6"/>
  <c r="AT26" i="6" s="1"/>
  <c r="AT36" i="6" s="1"/>
  <c r="AU49" i="6"/>
  <c r="AX48" i="6"/>
  <c r="AT48" i="6"/>
  <c r="AO48" i="6"/>
  <c r="AU23" i="6"/>
  <c r="AU26" i="6" s="1"/>
  <c r="AU36" i="6" s="1"/>
  <c r="AP23" i="6"/>
  <c r="AS48" i="6"/>
  <c r="AX23" i="6"/>
  <c r="AO23" i="6"/>
  <c r="AO26" i="6" s="1"/>
  <c r="AO36" i="6" s="1"/>
  <c r="AX49" i="6"/>
  <c r="AS49" i="6"/>
  <c r="AN49" i="6"/>
  <c r="AM48" i="6"/>
  <c r="AW23" i="6"/>
  <c r="AS23" i="6"/>
  <c r="AS26" i="6" s="1"/>
  <c r="AS36" i="6" s="1"/>
  <c r="AM23" i="6"/>
  <c r="AT49" i="6"/>
  <c r="AO49" i="6"/>
  <c r="AW60" i="6"/>
  <c r="U49" i="6"/>
  <c r="P23" i="6"/>
  <c r="T23" i="6"/>
  <c r="T26" i="6" s="1"/>
  <c r="T36" i="6" s="1"/>
  <c r="T48" i="6"/>
  <c r="Z49" i="6"/>
  <c r="V49" i="6"/>
  <c r="Y23" i="6"/>
  <c r="Y26" i="6" s="1"/>
  <c r="Y36" i="6" s="1"/>
  <c r="Q23" i="6"/>
  <c r="Q26" i="6" s="1"/>
  <c r="Q36" i="6" s="1"/>
  <c r="W48" i="6"/>
  <c r="Y49" i="6"/>
  <c r="X49" i="6"/>
  <c r="X23" i="6"/>
  <c r="X26" i="6" s="1"/>
  <c r="X36" i="6" s="1"/>
  <c r="P48" i="6"/>
  <c r="X48" i="6"/>
  <c r="Q49" i="6"/>
  <c r="U23" i="6"/>
  <c r="U26" i="6" s="1"/>
  <c r="U36" i="6" s="1"/>
  <c r="S48" i="6"/>
  <c r="AA48" i="6"/>
  <c r="R49" i="6"/>
  <c r="AA23" i="6"/>
  <c r="AA26" i="6" s="1"/>
  <c r="AA36" i="6" s="1"/>
  <c r="W23" i="6"/>
  <c r="W26" i="6" s="1"/>
  <c r="W36" i="6" s="1"/>
  <c r="S23" i="6"/>
  <c r="S26" i="6" s="1"/>
  <c r="S36" i="6" s="1"/>
  <c r="Q48" i="6"/>
  <c r="Q60" i="6" s="1"/>
  <c r="U48" i="6"/>
  <c r="Y48" i="6"/>
  <c r="S49" i="6"/>
  <c r="W49" i="6"/>
  <c r="AA49" i="6"/>
  <c r="Z23" i="6"/>
  <c r="Z26" i="6" s="1"/>
  <c r="Z36" i="6" s="1"/>
  <c r="V23" i="6"/>
  <c r="V26" i="6" s="1"/>
  <c r="V36" i="6" s="1"/>
  <c r="R23" i="6"/>
  <c r="R26" i="6" s="1"/>
  <c r="R36" i="6" s="1"/>
  <c r="R48" i="6"/>
  <c r="V48" i="6"/>
  <c r="Z48" i="6"/>
  <c r="P49" i="6"/>
  <c r="T49" i="6"/>
  <c r="Y33" i="7"/>
  <c r="R34" i="7"/>
  <c r="Z34" i="7"/>
  <c r="R33" i="7"/>
  <c r="V33" i="7"/>
  <c r="Z33" i="7"/>
  <c r="R32" i="7"/>
  <c r="V32" i="7"/>
  <c r="Z32" i="7"/>
  <c r="S34" i="7"/>
  <c r="W34" i="7"/>
  <c r="AA33" i="7"/>
  <c r="S32" i="7"/>
  <c r="W32" i="7"/>
  <c r="AA32" i="7"/>
  <c r="P34" i="7"/>
  <c r="T34" i="7"/>
  <c r="X34" i="7"/>
  <c r="P33" i="7"/>
  <c r="T33" i="7"/>
  <c r="X33" i="7"/>
  <c r="Q32" i="7"/>
  <c r="U32" i="7"/>
  <c r="Y32" i="7"/>
  <c r="V34" i="7"/>
  <c r="AA34" i="7"/>
  <c r="S33" i="7"/>
  <c r="W33" i="7"/>
  <c r="P32" i="7"/>
  <c r="T32" i="7"/>
  <c r="X32" i="7"/>
  <c r="Q34" i="7"/>
  <c r="U34" i="7"/>
  <c r="Y34" i="7"/>
  <c r="Q33" i="7"/>
  <c r="U33" i="7"/>
  <c r="AE64" i="22" l="1"/>
  <c r="AF64" i="22" s="1"/>
  <c r="AG64" i="22" s="1"/>
  <c r="AK64" i="22"/>
  <c r="AL64" i="22" s="1"/>
  <c r="AP64" i="22" s="1"/>
  <c r="D113" i="23"/>
  <c r="D116" i="23" s="1"/>
  <c r="L64" i="23"/>
  <c r="AH84" i="22"/>
  <c r="AH58" i="22"/>
  <c r="AH54" i="22"/>
  <c r="AH57" i="22"/>
  <c r="AH90" i="22"/>
  <c r="V66" i="10"/>
  <c r="AH74" i="22"/>
  <c r="F17" i="33"/>
  <c r="H17" i="33" s="1"/>
  <c r="S63" i="10"/>
  <c r="F18" i="33"/>
  <c r="H18" i="33" s="1"/>
  <c r="S64" i="10"/>
  <c r="AH67" i="22"/>
  <c r="AH77" i="22"/>
  <c r="AH28" i="22"/>
  <c r="AH82" i="22"/>
  <c r="AH79" i="22"/>
  <c r="AH62" i="22"/>
  <c r="AH47" i="22"/>
  <c r="AH49" i="22"/>
  <c r="AH29" i="22"/>
  <c r="AH83" i="22"/>
  <c r="AH53" i="22"/>
  <c r="AH33" i="22"/>
  <c r="AH85" i="22"/>
  <c r="AH55" i="22"/>
  <c r="AH31" i="22"/>
  <c r="AH26" i="22"/>
  <c r="AH71" i="22"/>
  <c r="AH23" i="22"/>
  <c r="AH38" i="22"/>
  <c r="AH37" i="22"/>
  <c r="AH24" i="22"/>
  <c r="AH36" i="22"/>
  <c r="AH56" i="22"/>
  <c r="AH40" i="22"/>
  <c r="AH51" i="22"/>
  <c r="AH78" i="22"/>
  <c r="AH60" i="22"/>
  <c r="AH43" i="22"/>
  <c r="AH45" i="22"/>
  <c r="AH69" i="22"/>
  <c r="AH80" i="22"/>
  <c r="AH59" i="22"/>
  <c r="AH35" i="22"/>
  <c r="AH32" i="22"/>
  <c r="AH50" i="22"/>
  <c r="AH27" i="22"/>
  <c r="AH30" i="22"/>
  <c r="AH72" i="22"/>
  <c r="AH39" i="22"/>
  <c r="AH41" i="22"/>
  <c r="AH52" i="22"/>
  <c r="AH65" i="22"/>
  <c r="AH68" i="22"/>
  <c r="AH86" i="22"/>
  <c r="AH63" i="22"/>
  <c r="AH42" i="22"/>
  <c r="AH61" i="22"/>
  <c r="AH73" i="22"/>
  <c r="AH75" i="22"/>
  <c r="AH66" i="22"/>
  <c r="AH25" i="22"/>
  <c r="AH81" i="22"/>
  <c r="AH70" i="22"/>
  <c r="AH48" i="22"/>
  <c r="AH87" i="22"/>
  <c r="AH34" i="22"/>
  <c r="AH76" i="22"/>
  <c r="AH44" i="22"/>
  <c r="AH46" i="22"/>
  <c r="AH89" i="22"/>
  <c r="AI53" i="22"/>
  <c r="AI65" i="22"/>
  <c r="AI31" i="22"/>
  <c r="AI52" i="22"/>
  <c r="AI70" i="22"/>
  <c r="AI81" i="22"/>
  <c r="AI73" i="22"/>
  <c r="AI44" i="22"/>
  <c r="AI62" i="22"/>
  <c r="AI51" i="22"/>
  <c r="AI40" i="22"/>
  <c r="AI49" i="22"/>
  <c r="AI37" i="22"/>
  <c r="AI72" i="22"/>
  <c r="AI85" i="22"/>
  <c r="AI26" i="22"/>
  <c r="AI33" i="22"/>
  <c r="AH88" i="22"/>
  <c r="AI23" i="22"/>
  <c r="AI74" i="22"/>
  <c r="AI28" i="22"/>
  <c r="AI48" i="22"/>
  <c r="AI71" i="22"/>
  <c r="AI45" i="22"/>
  <c r="AI66" i="22"/>
  <c r="AI86" i="22"/>
  <c r="AI82" i="22"/>
  <c r="AI38" i="22"/>
  <c r="AI41" i="22"/>
  <c r="AI55" i="22"/>
  <c r="AI76" i="22"/>
  <c r="AI30" i="22"/>
  <c r="AI50" i="22"/>
  <c r="AI88" i="22"/>
  <c r="AI89" i="22"/>
  <c r="AI83" i="22"/>
  <c r="AI68" i="22"/>
  <c r="AI29" i="22"/>
  <c r="AI47" i="22"/>
  <c r="AI46" i="22"/>
  <c r="AI67" i="22"/>
  <c r="AI87" i="22"/>
  <c r="AI59" i="22"/>
  <c r="AI75" i="22"/>
  <c r="AI36" i="22"/>
  <c r="AI39" i="22"/>
  <c r="AI61" i="22"/>
  <c r="AI77" i="22"/>
  <c r="AI35" i="22"/>
  <c r="AI56" i="22"/>
  <c r="AI91" i="22"/>
  <c r="AI42" i="22"/>
  <c r="AI27" i="22"/>
  <c r="AI69" i="22"/>
  <c r="AI25" i="22"/>
  <c r="AI43" i="22"/>
  <c r="AI63" i="22"/>
  <c r="AI79" i="22"/>
  <c r="AI80" i="22"/>
  <c r="AI34" i="22"/>
  <c r="AI24" i="22"/>
  <c r="AI60" i="22"/>
  <c r="AI78" i="22"/>
  <c r="AI32" i="22"/>
  <c r="AH91" i="22"/>
  <c r="O59" i="6"/>
  <c r="AQ59" i="6"/>
  <c r="AQ61" i="6"/>
  <c r="P43" i="7"/>
  <c r="C114" i="23" s="1"/>
  <c r="Z43" i="7"/>
  <c r="R43" i="7"/>
  <c r="E114" i="23" s="1"/>
  <c r="E117" i="23" s="1"/>
  <c r="X43" i="7"/>
  <c r="U43" i="7"/>
  <c r="H114" i="23" s="1"/>
  <c r="H117" i="23" s="1"/>
  <c r="S43" i="7"/>
  <c r="Y43" i="7"/>
  <c r="V43" i="7"/>
  <c r="AA43" i="7"/>
  <c r="T43" i="7"/>
  <c r="Q43" i="7"/>
  <c r="W43" i="7"/>
  <c r="AM60" i="6"/>
  <c r="AY48" i="6"/>
  <c r="AS60" i="6"/>
  <c r="AT60" i="6"/>
  <c r="AT39" i="6"/>
  <c r="AT61" i="6" s="1"/>
  <c r="AU60" i="6"/>
  <c r="AM26" i="6"/>
  <c r="AM36" i="6" s="1"/>
  <c r="AY23" i="6"/>
  <c r="AP26" i="6"/>
  <c r="AP36" i="6" s="1"/>
  <c r="AX60" i="6"/>
  <c r="AN61" i="6"/>
  <c r="AN60" i="6"/>
  <c r="AY49" i="6"/>
  <c r="AS39" i="6"/>
  <c r="AS61" i="6" s="1"/>
  <c r="AV61" i="6"/>
  <c r="AV60" i="6"/>
  <c r="AO39" i="6"/>
  <c r="AO61" i="6" s="1"/>
  <c r="AU39" i="6"/>
  <c r="AU61" i="6" s="1"/>
  <c r="AR26" i="6"/>
  <c r="AR36" i="6" s="1"/>
  <c r="AW26" i="6"/>
  <c r="AW36" i="6" s="1"/>
  <c r="AX26" i="6"/>
  <c r="AX36" i="6" s="1"/>
  <c r="AO60" i="6"/>
  <c r="AP60" i="6"/>
  <c r="R60" i="6"/>
  <c r="E113" i="23" s="1"/>
  <c r="E116" i="23" s="1"/>
  <c r="U60" i="6"/>
  <c r="H113" i="23" s="1"/>
  <c r="H116" i="23" s="1"/>
  <c r="V60" i="6"/>
  <c r="Y60" i="6"/>
  <c r="S60" i="6"/>
  <c r="W60" i="6"/>
  <c r="Z39" i="6"/>
  <c r="Z61" i="6" s="1"/>
  <c r="P60" i="6"/>
  <c r="C113" i="23" s="1"/>
  <c r="AB48" i="6"/>
  <c r="U39" i="6"/>
  <c r="U61" i="6" s="1"/>
  <c r="Q39" i="6"/>
  <c r="Q61" i="6" s="1"/>
  <c r="AB49" i="6"/>
  <c r="R39" i="6"/>
  <c r="Y39" i="6"/>
  <c r="Y59" i="6" s="1"/>
  <c r="T39" i="6"/>
  <c r="T61" i="6" s="1"/>
  <c r="W39" i="6"/>
  <c r="W59" i="6" s="1"/>
  <c r="AA39" i="6"/>
  <c r="AA61" i="6" s="1"/>
  <c r="X39" i="6"/>
  <c r="X59" i="6" s="1"/>
  <c r="T60" i="6"/>
  <c r="Z60" i="6"/>
  <c r="V39" i="6"/>
  <c r="V61" i="6" s="1"/>
  <c r="S39" i="6"/>
  <c r="S59" i="6" s="1"/>
  <c r="AA60" i="6"/>
  <c r="X60" i="6"/>
  <c r="P26" i="6"/>
  <c r="AB23" i="6"/>
  <c r="AB33" i="7"/>
  <c r="AB32" i="7"/>
  <c r="AB35" i="7"/>
  <c r="AB34" i="7"/>
  <c r="AB36" i="7"/>
  <c r="AB37" i="7"/>
  <c r="AN64" i="22" l="1"/>
  <c r="AK24" i="22"/>
  <c r="AL24" i="22" s="1"/>
  <c r="AP24" i="22" s="1"/>
  <c r="F114" i="23"/>
  <c r="F117" i="23" s="1"/>
  <c r="K112" i="23"/>
  <c r="K115" i="23" s="1"/>
  <c r="J114" i="23"/>
  <c r="J117" i="23" s="1"/>
  <c r="K114" i="23"/>
  <c r="K117" i="23" s="1"/>
  <c r="I113" i="23"/>
  <c r="I116" i="23" s="1"/>
  <c r="J112" i="23"/>
  <c r="J115" i="23" s="1"/>
  <c r="D114" i="23"/>
  <c r="D117" i="23" s="1"/>
  <c r="N113" i="23"/>
  <c r="N116" i="23" s="1"/>
  <c r="G114" i="23"/>
  <c r="G117" i="23" s="1"/>
  <c r="M114" i="23"/>
  <c r="M117" i="23" s="1"/>
  <c r="G113" i="23"/>
  <c r="G116" i="23" s="1"/>
  <c r="F112" i="23"/>
  <c r="F115" i="23" s="1"/>
  <c r="N114" i="23"/>
  <c r="N117" i="23" s="1"/>
  <c r="K113" i="23"/>
  <c r="K116" i="23" s="1"/>
  <c r="L112" i="23"/>
  <c r="L115" i="23" s="1"/>
  <c r="F113" i="23"/>
  <c r="I114" i="23"/>
  <c r="I117" i="23" s="1"/>
  <c r="J113" i="23"/>
  <c r="J116" i="23" s="1"/>
  <c r="M113" i="23"/>
  <c r="M116" i="23" s="1"/>
  <c r="L113" i="23"/>
  <c r="L116" i="23" s="1"/>
  <c r="L114" i="23"/>
  <c r="L117" i="23" s="1"/>
  <c r="AK90" i="22"/>
  <c r="AL90" i="22" s="1"/>
  <c r="AP90" i="22" s="1"/>
  <c r="AE90" i="22"/>
  <c r="AF90" i="22" s="1"/>
  <c r="AG90" i="22" s="1"/>
  <c r="AK57" i="22"/>
  <c r="AL57" i="22" s="1"/>
  <c r="AP57" i="22" s="1"/>
  <c r="AE57" i="22"/>
  <c r="AF57" i="22" s="1"/>
  <c r="AG57" i="22" s="1"/>
  <c r="AE54" i="22"/>
  <c r="AF54" i="22" s="1"/>
  <c r="AG54" i="22" s="1"/>
  <c r="AK54" i="22"/>
  <c r="AL54" i="22" s="1"/>
  <c r="AP54" i="22" s="1"/>
  <c r="AK58" i="22"/>
  <c r="AL58" i="22" s="1"/>
  <c r="AP58" i="22" s="1"/>
  <c r="AE58" i="22"/>
  <c r="AF58" i="22" s="1"/>
  <c r="AG58" i="22" s="1"/>
  <c r="AE84" i="22"/>
  <c r="AF84" i="22" s="1"/>
  <c r="AG84" i="22" s="1"/>
  <c r="AK84" i="22"/>
  <c r="AL84" i="22" s="1"/>
  <c r="AP84" i="22" s="1"/>
  <c r="V64" i="10"/>
  <c r="V63" i="10"/>
  <c r="AE91" i="22"/>
  <c r="AF91" i="22" s="1"/>
  <c r="AG91" i="22" s="1"/>
  <c r="AK80" i="22"/>
  <c r="AL80" i="22" s="1"/>
  <c r="AP80" i="22" s="1"/>
  <c r="AK79" i="22"/>
  <c r="AL79" i="22" s="1"/>
  <c r="AP79" i="22" s="1"/>
  <c r="AE81" i="22"/>
  <c r="AF81" i="22" s="1"/>
  <c r="AG81" i="22" s="1"/>
  <c r="AE30" i="22"/>
  <c r="AF30" i="22" s="1"/>
  <c r="AG30" i="22" s="1"/>
  <c r="AK32" i="22"/>
  <c r="AL32" i="22" s="1"/>
  <c r="AP32" i="22" s="1"/>
  <c r="AK67" i="22"/>
  <c r="AL67" i="22" s="1"/>
  <c r="AP67" i="22" s="1"/>
  <c r="AE34" i="22"/>
  <c r="AF34" i="22" s="1"/>
  <c r="AG34" i="22" s="1"/>
  <c r="AE75" i="22"/>
  <c r="AF75" i="22" s="1"/>
  <c r="AG75" i="22" s="1"/>
  <c r="AE63" i="22"/>
  <c r="AF63" i="22" s="1"/>
  <c r="AG63" i="22" s="1"/>
  <c r="AE35" i="22"/>
  <c r="AF35" i="22" s="1"/>
  <c r="AG35" i="22" s="1"/>
  <c r="AE78" i="22"/>
  <c r="AF78" i="22" s="1"/>
  <c r="AG78" i="22" s="1"/>
  <c r="AE23" i="22"/>
  <c r="AF23" i="22" s="1"/>
  <c r="AG23" i="22" s="1"/>
  <c r="AE83" i="22"/>
  <c r="AF83" i="22" s="1"/>
  <c r="AG83" i="22" s="1"/>
  <c r="AE28" i="22"/>
  <c r="AF28" i="22" s="1"/>
  <c r="AG28" i="22" s="1"/>
  <c r="AE36" i="22"/>
  <c r="AF36" i="22" s="1"/>
  <c r="AG36" i="22" s="1"/>
  <c r="AE55" i="22"/>
  <c r="AF55" i="22" s="1"/>
  <c r="AG55" i="22" s="1"/>
  <c r="AE89" i="22"/>
  <c r="AF89" i="22" s="1"/>
  <c r="AG89" i="22" s="1"/>
  <c r="AE46" i="22"/>
  <c r="AF46" i="22" s="1"/>
  <c r="AG46" i="22" s="1"/>
  <c r="AE87" i="22"/>
  <c r="AF87" i="22" s="1"/>
  <c r="AG87" i="22" s="1"/>
  <c r="AE25" i="22"/>
  <c r="AF25" i="22" s="1"/>
  <c r="AG25" i="22" s="1"/>
  <c r="AE73" i="22"/>
  <c r="AF73" i="22" s="1"/>
  <c r="AG73" i="22" s="1"/>
  <c r="AE86" i="22"/>
  <c r="AF86" i="22" s="1"/>
  <c r="AG86" i="22" s="1"/>
  <c r="AE41" i="22"/>
  <c r="AF41" i="22" s="1"/>
  <c r="AG41" i="22" s="1"/>
  <c r="AE27" i="22"/>
  <c r="AF27" i="22" s="1"/>
  <c r="AG27" i="22" s="1"/>
  <c r="AE45" i="22"/>
  <c r="AF45" i="22" s="1"/>
  <c r="AG45" i="22" s="1"/>
  <c r="AE51" i="22"/>
  <c r="AF51" i="22" s="1"/>
  <c r="AG51" i="22" s="1"/>
  <c r="AE24" i="22"/>
  <c r="AF24" i="22" s="1"/>
  <c r="AG24" i="22" s="1"/>
  <c r="AE71" i="22"/>
  <c r="AF71" i="22" s="1"/>
  <c r="AG71" i="22" s="1"/>
  <c r="AE85" i="22"/>
  <c r="AF85" i="22" s="1"/>
  <c r="AG85" i="22" s="1"/>
  <c r="AE29" i="22"/>
  <c r="AF29" i="22" s="1"/>
  <c r="AG29" i="22" s="1"/>
  <c r="AE62" i="22"/>
  <c r="AF62" i="22" s="1"/>
  <c r="AG62" i="22" s="1"/>
  <c r="AE77" i="22"/>
  <c r="AF77" i="22" s="1"/>
  <c r="AG77" i="22" s="1"/>
  <c r="AE88" i="22"/>
  <c r="AF88" i="22" s="1"/>
  <c r="AG88" i="22" s="1"/>
  <c r="AE44" i="22"/>
  <c r="AF44" i="22" s="1"/>
  <c r="AG44" i="22" s="1"/>
  <c r="AE48" i="22"/>
  <c r="AF48" i="22" s="1"/>
  <c r="AG48" i="22" s="1"/>
  <c r="AE61" i="22"/>
  <c r="AF61" i="22" s="1"/>
  <c r="AG61" i="22" s="1"/>
  <c r="AE68" i="22"/>
  <c r="AF68" i="22" s="1"/>
  <c r="AG68" i="22" s="1"/>
  <c r="AE39" i="22"/>
  <c r="AF39" i="22" s="1"/>
  <c r="AG39" i="22" s="1"/>
  <c r="AE50" i="22"/>
  <c r="AF50" i="22" s="1"/>
  <c r="AG50" i="22" s="1"/>
  <c r="AE59" i="22"/>
  <c r="AF59" i="22" s="1"/>
  <c r="AG59" i="22" s="1"/>
  <c r="AE43" i="22"/>
  <c r="AF43" i="22" s="1"/>
  <c r="AG43" i="22" s="1"/>
  <c r="AE40" i="22"/>
  <c r="AF40" i="22" s="1"/>
  <c r="AG40" i="22" s="1"/>
  <c r="AE37" i="22"/>
  <c r="AF37" i="22" s="1"/>
  <c r="AG37" i="22" s="1"/>
  <c r="AE26" i="22"/>
  <c r="AF26" i="22" s="1"/>
  <c r="AG26" i="22" s="1"/>
  <c r="AE33" i="22"/>
  <c r="AF33" i="22" s="1"/>
  <c r="AG33" i="22" s="1"/>
  <c r="AE79" i="22"/>
  <c r="AF79" i="22" s="1"/>
  <c r="AG79" i="22" s="1"/>
  <c r="AE67" i="22"/>
  <c r="AF67" i="22" s="1"/>
  <c r="AG67" i="22" s="1"/>
  <c r="AE52" i="22"/>
  <c r="AF52" i="22" s="1"/>
  <c r="AG52" i="22" s="1"/>
  <c r="AE69" i="22"/>
  <c r="AF69" i="22" s="1"/>
  <c r="AG69" i="22" s="1"/>
  <c r="AE47" i="22"/>
  <c r="AF47" i="22" s="1"/>
  <c r="AG47" i="22" s="1"/>
  <c r="AE76" i="22"/>
  <c r="AF76" i="22" s="1"/>
  <c r="AG76" i="22" s="1"/>
  <c r="AE70" i="22"/>
  <c r="AF70" i="22" s="1"/>
  <c r="AG70" i="22" s="1"/>
  <c r="AE66" i="22"/>
  <c r="AF66" i="22" s="1"/>
  <c r="AG66" i="22" s="1"/>
  <c r="AE42" i="22"/>
  <c r="AF42" i="22" s="1"/>
  <c r="AG42" i="22" s="1"/>
  <c r="AE65" i="22"/>
  <c r="AF65" i="22" s="1"/>
  <c r="AG65" i="22" s="1"/>
  <c r="AE72" i="22"/>
  <c r="AF72" i="22" s="1"/>
  <c r="AG72" i="22" s="1"/>
  <c r="AE32" i="22"/>
  <c r="AF32" i="22" s="1"/>
  <c r="AG32" i="22" s="1"/>
  <c r="AE80" i="22"/>
  <c r="AF80" i="22" s="1"/>
  <c r="AG80" i="22" s="1"/>
  <c r="AE60" i="22"/>
  <c r="AF60" i="22" s="1"/>
  <c r="AG60" i="22" s="1"/>
  <c r="AE56" i="22"/>
  <c r="AF56" i="22" s="1"/>
  <c r="AG56" i="22" s="1"/>
  <c r="AE38" i="22"/>
  <c r="AF38" i="22" s="1"/>
  <c r="AG38" i="22" s="1"/>
  <c r="AE31" i="22"/>
  <c r="AF31" i="22" s="1"/>
  <c r="AG31" i="22" s="1"/>
  <c r="AE53" i="22"/>
  <c r="AF53" i="22" s="1"/>
  <c r="AG53" i="22" s="1"/>
  <c r="AE49" i="22"/>
  <c r="AF49" i="22" s="1"/>
  <c r="AG49" i="22" s="1"/>
  <c r="AE82" i="22"/>
  <c r="AF82" i="22" s="1"/>
  <c r="AG82" i="22" s="1"/>
  <c r="AE74" i="22"/>
  <c r="AF74" i="22" s="1"/>
  <c r="AG74" i="22" s="1"/>
  <c r="AK91" i="22"/>
  <c r="AL91" i="22" s="1"/>
  <c r="AP91" i="22" s="1"/>
  <c r="AK74" i="22"/>
  <c r="AL74" i="22" s="1"/>
  <c r="AP74" i="22" s="1"/>
  <c r="AK42" i="22"/>
  <c r="AL42" i="22" s="1"/>
  <c r="AP42" i="22" s="1"/>
  <c r="AK77" i="22"/>
  <c r="AL77" i="22" s="1"/>
  <c r="AP77" i="22" s="1"/>
  <c r="AK43" i="22"/>
  <c r="AL43" i="22" s="1"/>
  <c r="AP43" i="22" s="1"/>
  <c r="AK29" i="22"/>
  <c r="AL29" i="22" s="1"/>
  <c r="AP29" i="22" s="1"/>
  <c r="AK71" i="22"/>
  <c r="AL71" i="22" s="1"/>
  <c r="AP71" i="22" s="1"/>
  <c r="AK85" i="22"/>
  <c r="AL85" i="22" s="1"/>
  <c r="AP85" i="22" s="1"/>
  <c r="AK60" i="22"/>
  <c r="AL60" i="22" s="1"/>
  <c r="AP60" i="22" s="1"/>
  <c r="AK69" i="22"/>
  <c r="AL69" i="22" s="1"/>
  <c r="AK59" i="22"/>
  <c r="AL59" i="22" s="1"/>
  <c r="AP59" i="22" s="1"/>
  <c r="AK61" i="22"/>
  <c r="AL61" i="22" s="1"/>
  <c r="AP61" i="22" s="1"/>
  <c r="AK68" i="22"/>
  <c r="AL68" i="22" s="1"/>
  <c r="AP68" i="22" s="1"/>
  <c r="AK50" i="22"/>
  <c r="AL50" i="22" s="1"/>
  <c r="AP50" i="22" s="1"/>
  <c r="AK48" i="22"/>
  <c r="AL48" i="22" s="1"/>
  <c r="AP48" i="22" s="1"/>
  <c r="AK39" i="22"/>
  <c r="AL39" i="22" s="1"/>
  <c r="AP39" i="22" s="1"/>
  <c r="AK72" i="22"/>
  <c r="AL72" i="22" s="1"/>
  <c r="AK30" i="22"/>
  <c r="AL30" i="22" s="1"/>
  <c r="AP30" i="22" s="1"/>
  <c r="AK38" i="22"/>
  <c r="AL38" i="22" s="1"/>
  <c r="AP38" i="22" s="1"/>
  <c r="AK83" i="22"/>
  <c r="AL83" i="22" s="1"/>
  <c r="AP83" i="22" s="1"/>
  <c r="AK87" i="22"/>
  <c r="AL87" i="22" s="1"/>
  <c r="AP87" i="22" s="1"/>
  <c r="AK45" i="22"/>
  <c r="AL45" i="22" s="1"/>
  <c r="AP45" i="22" s="1"/>
  <c r="F19" i="33"/>
  <c r="H19" i="33" s="1"/>
  <c r="S65" i="10"/>
  <c r="V65" i="10" s="1"/>
  <c r="AK28" i="22"/>
  <c r="AL28" i="22" s="1"/>
  <c r="AP28" i="22" s="1"/>
  <c r="C116" i="23"/>
  <c r="C117" i="23"/>
  <c r="AK62" i="22"/>
  <c r="AL62" i="22" s="1"/>
  <c r="AP62" i="22" s="1"/>
  <c r="AK26" i="22"/>
  <c r="AL26" i="22" s="1"/>
  <c r="AP26" i="22" s="1"/>
  <c r="AK51" i="22"/>
  <c r="AL51" i="22" s="1"/>
  <c r="AP51" i="22" s="1"/>
  <c r="AK44" i="22"/>
  <c r="AL44" i="22" s="1"/>
  <c r="AP44" i="22" s="1"/>
  <c r="AK33" i="22"/>
  <c r="AL33" i="22" s="1"/>
  <c r="AP33" i="22" s="1"/>
  <c r="AK66" i="22"/>
  <c r="AL66" i="22" s="1"/>
  <c r="AP66" i="22" s="1"/>
  <c r="AK37" i="22"/>
  <c r="AL37" i="22" s="1"/>
  <c r="AP37" i="22" s="1"/>
  <c r="AK70" i="22"/>
  <c r="AL70" i="22" s="1"/>
  <c r="AP70" i="22" s="1"/>
  <c r="AK65" i="22"/>
  <c r="AL65" i="22" s="1"/>
  <c r="AP65" i="22" s="1"/>
  <c r="AK76" i="22"/>
  <c r="AL76" i="22" s="1"/>
  <c r="AP76" i="22" s="1"/>
  <c r="AK88" i="22"/>
  <c r="AL88" i="22" s="1"/>
  <c r="AP88" i="22" s="1"/>
  <c r="AK40" i="22"/>
  <c r="AL40" i="22" s="1"/>
  <c r="AP40" i="22" s="1"/>
  <c r="AK73" i="22"/>
  <c r="AL73" i="22" s="1"/>
  <c r="AP73" i="22" s="1"/>
  <c r="AK81" i="22"/>
  <c r="AL81" i="22" s="1"/>
  <c r="AK86" i="22"/>
  <c r="AL86" i="22" s="1"/>
  <c r="AP86" i="22" s="1"/>
  <c r="AK23" i="22"/>
  <c r="AL23" i="22" s="1"/>
  <c r="AP23" i="22" s="1"/>
  <c r="AK49" i="22"/>
  <c r="AL49" i="22" s="1"/>
  <c r="AP49" i="22" s="1"/>
  <c r="AK82" i="22"/>
  <c r="AL82" i="22" s="1"/>
  <c r="AP82" i="22" s="1"/>
  <c r="AK75" i="22"/>
  <c r="AL75" i="22" s="1"/>
  <c r="AK52" i="22"/>
  <c r="AL52" i="22" s="1"/>
  <c r="AP52" i="22" s="1"/>
  <c r="AK46" i="22"/>
  <c r="AL46" i="22" s="1"/>
  <c r="AP46" i="22" s="1"/>
  <c r="AK56" i="22"/>
  <c r="AL56" i="22" s="1"/>
  <c r="AP56" i="22" s="1"/>
  <c r="AK31" i="22"/>
  <c r="AL31" i="22" s="1"/>
  <c r="AP31" i="22" s="1"/>
  <c r="AK53" i="22"/>
  <c r="AL53" i="22" s="1"/>
  <c r="AP53" i="22" s="1"/>
  <c r="AK25" i="22"/>
  <c r="AL25" i="22" s="1"/>
  <c r="AP25" i="22" s="1"/>
  <c r="AK41" i="22"/>
  <c r="AL41" i="22" s="1"/>
  <c r="AP41" i="22" s="1"/>
  <c r="AK47" i="22"/>
  <c r="AL47" i="22" s="1"/>
  <c r="AP47" i="22" s="1"/>
  <c r="AK63" i="22"/>
  <c r="AL63" i="22" s="1"/>
  <c r="AK78" i="22"/>
  <c r="AL78" i="22" s="1"/>
  <c r="AP78" i="22" s="1"/>
  <c r="AK35" i="22"/>
  <c r="AL35" i="22" s="1"/>
  <c r="AK36" i="22"/>
  <c r="AL36" i="22" s="1"/>
  <c r="AP36" i="22" s="1"/>
  <c r="AK55" i="22"/>
  <c r="AL55" i="22" s="1"/>
  <c r="AP55" i="22" s="1"/>
  <c r="AK89" i="22"/>
  <c r="AL89" i="22" s="1"/>
  <c r="AK34" i="22"/>
  <c r="AL34" i="22" s="1"/>
  <c r="AP34" i="22" s="1"/>
  <c r="AK27" i="22"/>
  <c r="AL27" i="22" s="1"/>
  <c r="AP27" i="22" s="1"/>
  <c r="AB77" i="6"/>
  <c r="AB81" i="6"/>
  <c r="AB85" i="6"/>
  <c r="AB89" i="6"/>
  <c r="AB93" i="6"/>
  <c r="AB79" i="6"/>
  <c r="AB83" i="6"/>
  <c r="AB87" i="6"/>
  <c r="AB91" i="6"/>
  <c r="AY79" i="6"/>
  <c r="AY83" i="6"/>
  <c r="AY87" i="6"/>
  <c r="AY91" i="6"/>
  <c r="AY77" i="6"/>
  <c r="AY81" i="6"/>
  <c r="AY85" i="6"/>
  <c r="AY89" i="6"/>
  <c r="AY93" i="6"/>
  <c r="AB68" i="7"/>
  <c r="AB72" i="7"/>
  <c r="AB76" i="7"/>
  <c r="AB69" i="7"/>
  <c r="AB73" i="7"/>
  <c r="AB67" i="7"/>
  <c r="AB70" i="7"/>
  <c r="AB74" i="7"/>
  <c r="AB71" i="7"/>
  <c r="AB75" i="7"/>
  <c r="R59" i="6"/>
  <c r="E112" i="23" s="1"/>
  <c r="E115" i="23" s="1"/>
  <c r="AS59" i="6"/>
  <c r="AU59" i="6"/>
  <c r="AR39" i="6"/>
  <c r="AR61" i="6" s="1"/>
  <c r="AO59" i="6"/>
  <c r="AW39" i="6"/>
  <c r="AW59" i="6" s="1"/>
  <c r="AY36" i="6"/>
  <c r="AM39" i="6"/>
  <c r="AM61" i="6" s="1"/>
  <c r="AT59" i="6"/>
  <c r="AX39" i="6"/>
  <c r="AX61" i="6" s="1"/>
  <c r="AP39" i="6"/>
  <c r="AP61" i="6" s="1"/>
  <c r="AY26" i="6"/>
  <c r="AY60" i="6"/>
  <c r="Q59" i="6"/>
  <c r="S61" i="6"/>
  <c r="V59" i="6"/>
  <c r="T59" i="6"/>
  <c r="R61" i="6"/>
  <c r="AA59" i="6"/>
  <c r="U59" i="6"/>
  <c r="H112" i="23" s="1"/>
  <c r="H115" i="23" s="1"/>
  <c r="Z59" i="6"/>
  <c r="W61" i="6"/>
  <c r="AB60" i="6"/>
  <c r="P36" i="6"/>
  <c r="AB26" i="6"/>
  <c r="X61" i="6"/>
  <c r="Y61" i="6"/>
  <c r="AB43" i="7"/>
  <c r="AN24" i="22" l="1"/>
  <c r="AQ24" i="22" s="1"/>
  <c r="AO64" i="22"/>
  <c r="AQ64" i="22"/>
  <c r="AM64" i="22"/>
  <c r="O114" i="23"/>
  <c r="O113" i="23"/>
  <c r="D112" i="23"/>
  <c r="D115" i="23" s="1"/>
  <c r="M112" i="23"/>
  <c r="M115" i="23" s="1"/>
  <c r="F116" i="23"/>
  <c r="D124" i="23" s="1"/>
  <c r="D170" i="23" s="1"/>
  <c r="C185" i="23" s="1"/>
  <c r="N112" i="23"/>
  <c r="N115" i="23" s="1"/>
  <c r="I112" i="23"/>
  <c r="I115" i="23" s="1"/>
  <c r="G112" i="23"/>
  <c r="G115" i="23" s="1"/>
  <c r="AN54" i="22"/>
  <c r="AO54" i="22" s="1"/>
  <c r="AN57" i="22"/>
  <c r="AO57" i="22" s="1"/>
  <c r="AN84" i="22"/>
  <c r="AO84" i="22" s="1"/>
  <c r="AN90" i="22"/>
  <c r="AQ90" i="22" s="1"/>
  <c r="AN79" i="22"/>
  <c r="AM79" i="22" s="1"/>
  <c r="AN58" i="22"/>
  <c r="AN35" i="22"/>
  <c r="AQ35" i="22" s="1"/>
  <c r="AN32" i="22"/>
  <c r="AO32" i="22" s="1"/>
  <c r="AN81" i="22"/>
  <c r="AM81" i="22" s="1"/>
  <c r="AN80" i="22"/>
  <c r="AM80" i="22" s="1"/>
  <c r="AN72" i="22"/>
  <c r="AM72" i="22" s="1"/>
  <c r="AN75" i="22"/>
  <c r="AQ75" i="22" s="1"/>
  <c r="AN89" i="22"/>
  <c r="AM89" i="22" s="1"/>
  <c r="AN69" i="22"/>
  <c r="AO69" i="22" s="1"/>
  <c r="AN67" i="22"/>
  <c r="AQ67" i="22" s="1"/>
  <c r="AN87" i="22"/>
  <c r="AP69" i="22"/>
  <c r="AP72" i="22"/>
  <c r="AN53" i="22"/>
  <c r="AN60" i="22"/>
  <c r="AN65" i="22"/>
  <c r="AN76" i="22"/>
  <c r="AQ76" i="22" s="1"/>
  <c r="AN33" i="22"/>
  <c r="AN43" i="22"/>
  <c r="AN68" i="22"/>
  <c r="AQ68" i="22" s="1"/>
  <c r="AN48" i="22"/>
  <c r="AN62" i="22"/>
  <c r="AN27" i="22"/>
  <c r="AN25" i="22"/>
  <c r="AN28" i="22"/>
  <c r="AN36" i="22"/>
  <c r="AN30" i="22"/>
  <c r="AN74" i="22"/>
  <c r="AQ74" i="22" s="1"/>
  <c r="AN31" i="22"/>
  <c r="AN42" i="22"/>
  <c r="AQ42" i="22" s="1"/>
  <c r="AN26" i="22"/>
  <c r="AQ26" i="22" s="1"/>
  <c r="AN59" i="22"/>
  <c r="AQ59" i="22" s="1"/>
  <c r="AN61" i="22"/>
  <c r="AQ61" i="22" s="1"/>
  <c r="AN44" i="22"/>
  <c r="AN29" i="22"/>
  <c r="AN51" i="22"/>
  <c r="AN41" i="22"/>
  <c r="AN47" i="22"/>
  <c r="AN78" i="22"/>
  <c r="AN52" i="22"/>
  <c r="AN34" i="22"/>
  <c r="AN82" i="22"/>
  <c r="AN38" i="22"/>
  <c r="AQ38" i="22" s="1"/>
  <c r="AN66" i="22"/>
  <c r="AN37" i="22"/>
  <c r="AN50" i="22"/>
  <c r="AQ50" i="22" s="1"/>
  <c r="AN88" i="22"/>
  <c r="AN85" i="22"/>
  <c r="AN45" i="22"/>
  <c r="AQ45" i="22" s="1"/>
  <c r="AN86" i="22"/>
  <c r="AN83" i="22"/>
  <c r="AQ83" i="22" s="1"/>
  <c r="AN63" i="22"/>
  <c r="AN49" i="22"/>
  <c r="AQ49" i="22" s="1"/>
  <c r="AN56" i="22"/>
  <c r="AN70" i="22"/>
  <c r="AN40" i="22"/>
  <c r="AN39" i="22"/>
  <c r="AQ39" i="22" s="1"/>
  <c r="AN77" i="22"/>
  <c r="AQ77" i="22" s="1"/>
  <c r="AN71" i="22"/>
  <c r="AN73" i="22"/>
  <c r="AQ73" i="22" s="1"/>
  <c r="AN46" i="22"/>
  <c r="AN55" i="22"/>
  <c r="AN91" i="22"/>
  <c r="AQ91" i="22" s="1"/>
  <c r="AG18" i="22"/>
  <c r="AN23" i="22"/>
  <c r="AM23" i="22" s="1"/>
  <c r="D125" i="23"/>
  <c r="D171" i="23" s="1"/>
  <c r="C186" i="23" s="1"/>
  <c r="O117" i="23"/>
  <c r="AP81" i="22"/>
  <c r="AP75" i="22"/>
  <c r="AP35" i="22"/>
  <c r="AP89" i="22"/>
  <c r="AP63" i="22"/>
  <c r="AY39" i="6"/>
  <c r="AP59" i="6"/>
  <c r="AX59" i="6"/>
  <c r="AW61" i="6"/>
  <c r="AY61" i="6" s="1"/>
  <c r="AR59" i="6"/>
  <c r="AM59" i="6"/>
  <c r="P39" i="6"/>
  <c r="AB39" i="6" s="1"/>
  <c r="AB36" i="6"/>
  <c r="AO24" i="22" l="1"/>
  <c r="AM24" i="22"/>
  <c r="AQ57" i="22"/>
  <c r="AM57" i="22"/>
  <c r="O116" i="23"/>
  <c r="AQ79" i="22"/>
  <c r="AM84" i="22"/>
  <c r="AQ84" i="22"/>
  <c r="AO79" i="22"/>
  <c r="AQ54" i="22"/>
  <c r="AO90" i="22"/>
  <c r="AM54" i="22"/>
  <c r="AM90" i="22"/>
  <c r="AO58" i="22"/>
  <c r="AQ58" i="22"/>
  <c r="AM58" i="22"/>
  <c r="AO35" i="22"/>
  <c r="AM35" i="22"/>
  <c r="AM32" i="22"/>
  <c r="AQ81" i="22"/>
  <c r="AQ32" i="22"/>
  <c r="AO80" i="22"/>
  <c r="AO81" i="22"/>
  <c r="AQ72" i="22"/>
  <c r="AO72" i="22"/>
  <c r="AQ89" i="22"/>
  <c r="AQ69" i="22"/>
  <c r="AM75" i="22"/>
  <c r="AO75" i="22"/>
  <c r="AO89" i="22"/>
  <c r="AO67" i="22"/>
  <c r="AM67" i="22"/>
  <c r="AM69" i="22"/>
  <c r="AO87" i="22"/>
  <c r="AM87" i="22"/>
  <c r="AM55" i="22"/>
  <c r="AO55" i="22"/>
  <c r="AM77" i="22"/>
  <c r="AO77" i="22"/>
  <c r="AO63" i="22"/>
  <c r="AM63" i="22"/>
  <c r="AM85" i="22"/>
  <c r="AO85" i="22"/>
  <c r="AO34" i="22"/>
  <c r="AM34" i="22"/>
  <c r="AO41" i="22"/>
  <c r="AM41" i="22"/>
  <c r="AM61" i="22"/>
  <c r="AO61" i="22"/>
  <c r="AM31" i="22"/>
  <c r="AO31" i="22"/>
  <c r="AM28" i="22"/>
  <c r="AO28" i="22"/>
  <c r="AM43" i="22"/>
  <c r="AO43" i="22"/>
  <c r="AM60" i="22"/>
  <c r="AO60" i="22"/>
  <c r="AM46" i="22"/>
  <c r="AO46" i="22"/>
  <c r="AM39" i="22"/>
  <c r="AO39" i="22"/>
  <c r="AO70" i="22"/>
  <c r="AM70" i="22"/>
  <c r="AM83" i="22"/>
  <c r="AO83" i="22"/>
  <c r="AM88" i="22"/>
  <c r="AO88" i="22"/>
  <c r="AO38" i="22"/>
  <c r="AM38" i="22"/>
  <c r="AO52" i="22"/>
  <c r="AM52" i="22"/>
  <c r="AM51" i="22"/>
  <c r="AO51" i="22"/>
  <c r="AO59" i="22"/>
  <c r="AM59" i="22"/>
  <c r="AO42" i="22"/>
  <c r="AM42" i="22"/>
  <c r="AO74" i="22"/>
  <c r="AM74" i="22"/>
  <c r="AO25" i="22"/>
  <c r="AM25" i="22"/>
  <c r="AO62" i="22"/>
  <c r="AM62" i="22"/>
  <c r="AO33" i="22"/>
  <c r="AM33" i="22"/>
  <c r="AO53" i="22"/>
  <c r="AM53" i="22"/>
  <c r="AM73" i="22"/>
  <c r="AO73" i="22"/>
  <c r="AO40" i="22"/>
  <c r="AM40" i="22"/>
  <c r="AM56" i="22"/>
  <c r="AO56" i="22"/>
  <c r="AM86" i="22"/>
  <c r="AO86" i="22"/>
  <c r="AM50" i="22"/>
  <c r="AO50" i="22"/>
  <c r="AO66" i="22"/>
  <c r="AM66" i="22"/>
  <c r="AO82" i="22"/>
  <c r="AM82" i="22"/>
  <c r="AO78" i="22"/>
  <c r="AM78" i="22"/>
  <c r="AO29" i="22"/>
  <c r="AM29" i="22"/>
  <c r="AO26" i="22"/>
  <c r="AM26" i="22"/>
  <c r="AM30" i="22"/>
  <c r="AO30" i="22"/>
  <c r="AM27" i="22"/>
  <c r="AO27" i="22"/>
  <c r="AO48" i="22"/>
  <c r="AM48" i="22"/>
  <c r="AM76" i="22"/>
  <c r="AO76" i="22"/>
  <c r="AM91" i="22"/>
  <c r="AO91" i="22"/>
  <c r="AM71" i="22"/>
  <c r="AO71" i="22"/>
  <c r="AO49" i="22"/>
  <c r="AM49" i="22"/>
  <c r="AO45" i="22"/>
  <c r="AM45" i="22"/>
  <c r="AO37" i="22"/>
  <c r="AM37" i="22"/>
  <c r="AQ63" i="22"/>
  <c r="AM47" i="22"/>
  <c r="AO47" i="22"/>
  <c r="AM44" i="22"/>
  <c r="AO44" i="22"/>
  <c r="AM36" i="22"/>
  <c r="AO36" i="22"/>
  <c r="AM68" i="22"/>
  <c r="AO68" i="22"/>
  <c r="AM65" i="22"/>
  <c r="AO65" i="22"/>
  <c r="AQ71" i="22"/>
  <c r="AQ48" i="22"/>
  <c r="AQ60" i="22"/>
  <c r="AQ30" i="22"/>
  <c r="AQ62" i="22"/>
  <c r="AQ33" i="22"/>
  <c r="AQ88" i="22"/>
  <c r="AQ80" i="22"/>
  <c r="AQ29" i="22"/>
  <c r="AQ85" i="22"/>
  <c r="AQ43" i="22"/>
  <c r="AQ36" i="22"/>
  <c r="AQ25" i="22"/>
  <c r="AQ51" i="22"/>
  <c r="AQ28" i="22"/>
  <c r="AQ82" i="22"/>
  <c r="AQ78" i="22"/>
  <c r="AQ41" i="22"/>
  <c r="AQ66" i="22"/>
  <c r="AQ86" i="22"/>
  <c r="AQ47" i="22"/>
  <c r="AQ37" i="22"/>
  <c r="AQ44" i="22"/>
  <c r="AQ34" i="22"/>
  <c r="AQ56" i="22"/>
  <c r="AQ23" i="22"/>
  <c r="AO23" i="22"/>
  <c r="AQ55" i="22"/>
  <c r="AQ65" i="22"/>
  <c r="AQ53" i="22"/>
  <c r="C198" i="23"/>
  <c r="F207" i="23"/>
  <c r="G207" i="23" s="1"/>
  <c r="L207" i="23" s="1"/>
  <c r="G185" i="23"/>
  <c r="D198" i="23" s="1"/>
  <c r="F210" i="23"/>
  <c r="G210" i="23" s="1"/>
  <c r="L210" i="23" s="1"/>
  <c r="G186" i="23"/>
  <c r="F212" i="23" s="1"/>
  <c r="G212" i="23" s="1"/>
  <c r="L212" i="23" s="1"/>
  <c r="C199" i="23"/>
  <c r="AY80" i="6"/>
  <c r="AY84" i="6"/>
  <c r="AY88" i="6"/>
  <c r="AY92" i="6"/>
  <c r="AY78" i="6"/>
  <c r="AY82" i="6"/>
  <c r="AY86" i="6"/>
  <c r="AY90" i="6"/>
  <c r="AY76" i="6"/>
  <c r="AY59" i="6"/>
  <c r="P61" i="6"/>
  <c r="AB61" i="6" s="1"/>
  <c r="P59" i="6"/>
  <c r="C112" i="23" s="1"/>
  <c r="AQ87" i="22" l="1"/>
  <c r="AQ31" i="22"/>
  <c r="AQ52" i="22"/>
  <c r="AQ70" i="22"/>
  <c r="AQ27" i="22"/>
  <c r="AQ40" i="22"/>
  <c r="AQ46" i="22"/>
  <c r="C115" i="23"/>
  <c r="O112" i="23"/>
  <c r="F209" i="23"/>
  <c r="G209" i="23" s="1"/>
  <c r="L209" i="23" s="1"/>
  <c r="F198" i="23"/>
  <c r="G198" i="23" s="1"/>
  <c r="D199" i="23"/>
  <c r="F199" i="23" s="1"/>
  <c r="G199" i="23" s="1"/>
  <c r="C86" i="33" s="1"/>
  <c r="AB78" i="6"/>
  <c r="AB82" i="6"/>
  <c r="AB86" i="6"/>
  <c r="AB90" i="6"/>
  <c r="AB76" i="6"/>
  <c r="AB88" i="6"/>
  <c r="AB92" i="6"/>
  <c r="AB80" i="6"/>
  <c r="AB84" i="6"/>
  <c r="H212" i="23"/>
  <c r="H210" i="23"/>
  <c r="H211" i="23"/>
  <c r="AB59" i="6"/>
  <c r="C70" i="33" l="1"/>
  <c r="C71" i="33"/>
  <c r="O115" i="23"/>
  <c r="D123" i="23"/>
  <c r="D169" i="23" s="1"/>
  <c r="C184" i="23" s="1"/>
  <c r="H209" i="23"/>
  <c r="H207" i="23"/>
  <c r="H208" i="23"/>
  <c r="K20" i="22"/>
  <c r="C87" i="33"/>
  <c r="K82" i="22"/>
  <c r="I20" i="22"/>
  <c r="J211" i="23"/>
  <c r="I211" i="23"/>
  <c r="K54" i="22" l="1"/>
  <c r="L54" i="22" s="1"/>
  <c r="AU54" i="22" s="1"/>
  <c r="K64" i="22"/>
  <c r="L64" i="22" s="1"/>
  <c r="AU64" i="22" s="1"/>
  <c r="I89" i="22"/>
  <c r="L89" i="22" s="1"/>
  <c r="AU89" i="22" s="1"/>
  <c r="I57" i="22"/>
  <c r="L57" i="22" s="1"/>
  <c r="AU57" i="22" s="1"/>
  <c r="I58" i="22"/>
  <c r="L58" i="22" s="1"/>
  <c r="AU58" i="22" s="1"/>
  <c r="K91" i="22"/>
  <c r="K84" i="22"/>
  <c r="L84" i="22" s="1"/>
  <c r="AU84" i="22" s="1"/>
  <c r="J208" i="23"/>
  <c r="I208" i="23"/>
  <c r="K87" i="22"/>
  <c r="K52" i="22"/>
  <c r="L52" i="22" s="1"/>
  <c r="AU52" i="22" s="1"/>
  <c r="K53" i="22"/>
  <c r="L53" i="22" s="1"/>
  <c r="AU53" i="22" s="1"/>
  <c r="K86" i="22"/>
  <c r="L86" i="22" s="1"/>
  <c r="AU86" i="22" s="1"/>
  <c r="K51" i="22"/>
  <c r="L51" i="22" s="1"/>
  <c r="AU51" i="22" s="1"/>
  <c r="K48" i="22"/>
  <c r="L48" i="22" s="1"/>
  <c r="AU48" i="22" s="1"/>
  <c r="K85" i="22"/>
  <c r="L85" i="22" s="1"/>
  <c r="AU85" i="22" s="1"/>
  <c r="K83" i="22"/>
  <c r="K62" i="22"/>
  <c r="K77" i="22"/>
  <c r="L77" i="22" s="1"/>
  <c r="AU77" i="22" s="1"/>
  <c r="K78" i="22"/>
  <c r="L78" i="22" s="1"/>
  <c r="AU78" i="22" s="1"/>
  <c r="K55" i="22"/>
  <c r="L55" i="22" s="1"/>
  <c r="AU55" i="22" s="1"/>
  <c r="K49" i="22"/>
  <c r="L49" i="22" s="1"/>
  <c r="AU49" i="22" s="1"/>
  <c r="K76" i="22"/>
  <c r="K79" i="22"/>
  <c r="L79" i="22" s="1"/>
  <c r="AU79" i="22" s="1"/>
  <c r="K63" i="22"/>
  <c r="L63" i="22" s="1"/>
  <c r="AU63" i="22" s="1"/>
  <c r="K50" i="22"/>
  <c r="L50" i="22" s="1"/>
  <c r="AU50" i="22" s="1"/>
  <c r="C197" i="23"/>
  <c r="F204" i="23"/>
  <c r="G204" i="23" s="1"/>
  <c r="L204" i="23" s="1"/>
  <c r="G184" i="23"/>
  <c r="D197" i="23" s="1"/>
  <c r="I91" i="22"/>
  <c r="I81" i="22"/>
  <c r="I23" i="22"/>
  <c r="I24" i="22"/>
  <c r="L24" i="22" s="1"/>
  <c r="AU24" i="22" s="1"/>
  <c r="I25" i="22"/>
  <c r="L25" i="22" s="1"/>
  <c r="AU25" i="22" s="1"/>
  <c r="I26" i="22"/>
  <c r="L26" i="22" s="1"/>
  <c r="AU26" i="22" s="1"/>
  <c r="I27" i="22"/>
  <c r="L27" i="22" s="1"/>
  <c r="AU27" i="22" s="1"/>
  <c r="I28" i="22"/>
  <c r="L28" i="22" s="1"/>
  <c r="AU28" i="22" s="1"/>
  <c r="I29" i="22"/>
  <c r="L29" i="22" s="1"/>
  <c r="AU29" i="22" s="1"/>
  <c r="I30" i="22"/>
  <c r="L30" i="22" s="1"/>
  <c r="AU30" i="22" s="1"/>
  <c r="I31" i="22"/>
  <c r="L31" i="22" s="1"/>
  <c r="AU31" i="22" s="1"/>
  <c r="I32" i="22"/>
  <c r="L32" i="22" s="1"/>
  <c r="AU32" i="22" s="1"/>
  <c r="I33" i="22"/>
  <c r="L33" i="22" s="1"/>
  <c r="AU33" i="22" s="1"/>
  <c r="I34" i="22"/>
  <c r="L34" i="22" s="1"/>
  <c r="AU34" i="22" s="1"/>
  <c r="I35" i="22"/>
  <c r="L35" i="22" s="1"/>
  <c r="AU35" i="22" s="1"/>
  <c r="I36" i="22"/>
  <c r="L36" i="22" s="1"/>
  <c r="AU36" i="22" s="1"/>
  <c r="I37" i="22"/>
  <c r="L37" i="22" s="1"/>
  <c r="AU37" i="22" s="1"/>
  <c r="I41" i="22"/>
  <c r="L41" i="22" s="1"/>
  <c r="AU41" i="22" s="1"/>
  <c r="I62" i="22"/>
  <c r="I65" i="22"/>
  <c r="L65" i="22" s="1"/>
  <c r="AU65" i="22" s="1"/>
  <c r="I69" i="22"/>
  <c r="L69" i="22" s="1"/>
  <c r="AU69" i="22" s="1"/>
  <c r="I76" i="22"/>
  <c r="I80" i="22"/>
  <c r="L80" i="22" s="1"/>
  <c r="AU80" i="22" s="1"/>
  <c r="I40" i="22"/>
  <c r="L40" i="22" s="1"/>
  <c r="AU40" i="22" s="1"/>
  <c r="I56" i="22"/>
  <c r="L56" i="22" s="1"/>
  <c r="AU56" i="22" s="1"/>
  <c r="I68" i="22"/>
  <c r="L68" i="22" s="1"/>
  <c r="AU68" i="22" s="1"/>
  <c r="I72" i="22"/>
  <c r="L72" i="22" s="1"/>
  <c r="AU72" i="22" s="1"/>
  <c r="I66" i="22"/>
  <c r="L66" i="22" s="1"/>
  <c r="AU66" i="22" s="1"/>
  <c r="I70" i="22"/>
  <c r="L70" i="22" s="1"/>
  <c r="AU70" i="22" s="1"/>
  <c r="I39" i="22"/>
  <c r="L39" i="22" s="1"/>
  <c r="AU39" i="22" s="1"/>
  <c r="I67" i="22"/>
  <c r="L67" i="22" s="1"/>
  <c r="AU67" i="22" s="1"/>
  <c r="I71" i="22"/>
  <c r="L71" i="22" s="1"/>
  <c r="AU71" i="22" s="1"/>
  <c r="I38" i="22"/>
  <c r="L38" i="22" s="1"/>
  <c r="AU38" i="22" s="1"/>
  <c r="F197" i="23" l="1"/>
  <c r="G197" i="23" s="1"/>
  <c r="C55" i="33" s="1"/>
  <c r="F206" i="23"/>
  <c r="G206" i="23" s="1"/>
  <c r="H205" i="23" s="1"/>
  <c r="L23" i="22"/>
  <c r="AU23" i="22" s="1"/>
  <c r="L206" i="23" l="1"/>
  <c r="C54" i="33"/>
  <c r="H206" i="23"/>
  <c r="H204" i="23"/>
  <c r="J20" i="22"/>
  <c r="J90" i="22" s="1"/>
  <c r="L90" i="22" s="1"/>
  <c r="AU90" i="22" s="1"/>
  <c r="I205" i="23" l="1"/>
  <c r="J205" i="23"/>
  <c r="J91" i="22"/>
  <c r="L91" i="22" s="1"/>
  <c r="AU91" i="22" s="1"/>
  <c r="J59" i="22"/>
  <c r="L59" i="22" s="1"/>
  <c r="AU59" i="22" s="1"/>
  <c r="J82" i="22"/>
  <c r="L82" i="22" s="1"/>
  <c r="AU82" i="22" s="1"/>
  <c r="J87" i="22"/>
  <c r="L87" i="22" s="1"/>
  <c r="AU87" i="22" s="1"/>
  <c r="J75" i="22"/>
  <c r="L75" i="22" s="1"/>
  <c r="AU75" i="22" s="1"/>
  <c r="J74" i="22"/>
  <c r="L74" i="22" s="1"/>
  <c r="AU74" i="22" s="1"/>
  <c r="J73" i="22"/>
  <c r="L73" i="22" s="1"/>
  <c r="AU73" i="22" s="1"/>
  <c r="J45" i="22"/>
  <c r="L45" i="22" s="1"/>
  <c r="AU45" i="22" s="1"/>
  <c r="J44" i="22"/>
  <c r="L44" i="22" s="1"/>
  <c r="AU44" i="22" s="1"/>
  <c r="J83" i="22"/>
  <c r="L83" i="22" s="1"/>
  <c r="AU83" i="22" s="1"/>
  <c r="J46" i="22"/>
  <c r="L46" i="22" s="1"/>
  <c r="AU46" i="22" s="1"/>
  <c r="J43" i="22"/>
  <c r="L43" i="22" s="1"/>
  <c r="AU43" i="22" s="1"/>
  <c r="J76" i="22"/>
  <c r="L76" i="22" s="1"/>
  <c r="AU76" i="22" s="1"/>
  <c r="J61" i="22"/>
  <c r="L61" i="22" s="1"/>
  <c r="AU61" i="22" s="1"/>
  <c r="J60" i="22"/>
  <c r="L60" i="22" s="1"/>
  <c r="AU60" i="22" s="1"/>
  <c r="J42" i="22"/>
  <c r="J81" i="22"/>
  <c r="L81" i="22" s="1"/>
  <c r="AU81" i="22" s="1"/>
  <c r="J62" i="22"/>
  <c r="L62" i="22" s="1"/>
  <c r="AU62" i="22" s="1"/>
  <c r="J47" i="22"/>
  <c r="L47" i="22" s="1"/>
  <c r="AU47" i="22" s="1"/>
  <c r="J88" i="22"/>
  <c r="L88" i="22" s="1"/>
  <c r="AU88" i="22" s="1"/>
  <c r="L42" i="22" l="1"/>
  <c r="AU4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tc={36237512-FC24-41CD-AFB0-286527E65481}</author>
    <author>Simon Bunstead</author>
  </authors>
  <commentList>
    <comment ref="K92" authorId="0" shapeId="0" xr:uid="{36237512-FC24-41CD-AFB0-286527E65481}">
      <text>
        <t>[Threaded comment]
Your version of Excel allows you to read this threaded comment; however, any edits to it will get removed if the file is opened in a newer version of Excel. Learn more: https://go.microsoft.com/fwlink/?linkid=870924
Comment:
    Assuming the site always have chilling capacity. The fits the assumption in Benchmark-adjustment</t>
      </text>
    </comment>
    <comment ref="G93" authorId="1" shapeId="0" xr:uid="{00000000-0006-0000-0900-000001000000}">
      <text>
        <r>
          <rPr>
            <sz val="9"/>
            <color indexed="81"/>
            <rFont val="Tahoma"/>
            <family val="2"/>
          </rPr>
          <t>In comparison to benchmarks, the model treats all sites as compared to continuous rendering.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Simon Bunstead</author>
  </authors>
  <commentList>
    <comment ref="AJ66" authorId="0" shapeId="0" xr:uid="{00000000-0006-0000-0500-000001000000}">
      <text>
        <r>
          <rPr>
            <b/>
            <sz val="9"/>
            <color indexed="81"/>
            <rFont val="Tahoma"/>
            <family val="2"/>
          </rPr>
          <t>Simon Bunstead:</t>
        </r>
        <r>
          <rPr>
            <sz val="9"/>
            <color indexed="81"/>
            <rFont val="Tahoma"/>
            <family val="2"/>
          </rPr>
          <t xml:space="preserve">
Roger can you please add a reference to this benchmark (if we have one that's publically available).</t>
        </r>
      </text>
    </comment>
    <comment ref="AB75" authorId="0" shapeId="0" xr:uid="{00000000-0006-0000-0500-000002000000}">
      <text>
        <r>
          <rPr>
            <b/>
            <sz val="9"/>
            <color indexed="81"/>
            <rFont val="Tahoma"/>
            <family val="2"/>
          </rPr>
          <t>Simon Bunstead:</t>
        </r>
        <r>
          <rPr>
            <sz val="9"/>
            <color indexed="81"/>
            <rFont val="Tahoma"/>
            <family val="2"/>
          </rPr>
          <t xml:space="preserve">
This is:
[benchmark value] x [% proportion of a full-facility plant in the benchmark site]
/
[% proportion of a full-facility plant in the real-world site]</t>
        </r>
      </text>
    </comment>
    <comment ref="AY75" authorId="0" shapeId="0" xr:uid="{00000000-0006-0000-0500-000003000000}">
      <text>
        <r>
          <rPr>
            <b/>
            <sz val="9"/>
            <color indexed="81"/>
            <rFont val="Tahoma"/>
            <family val="2"/>
          </rPr>
          <t>Simon Bunstead:</t>
        </r>
        <r>
          <rPr>
            <sz val="9"/>
            <color indexed="81"/>
            <rFont val="Tahoma"/>
            <family val="2"/>
          </rPr>
          <t xml:space="preserve">
This is:
[benchmark value] x [% proportion of a full-facility plant in the benchmark site]
/
[% proportion of a full-facility plant in the real-world site]</t>
        </r>
      </text>
    </comment>
    <comment ref="AZ78" authorId="0" shapeId="0" xr:uid="{00000000-0006-0000-0500-000004000000}">
      <text>
        <r>
          <rPr>
            <b/>
            <sz val="9"/>
            <color indexed="81"/>
            <rFont val="Tahoma"/>
            <family val="2"/>
          </rPr>
          <t>Simon Bunstead:</t>
        </r>
        <r>
          <rPr>
            <sz val="9"/>
            <color indexed="81"/>
            <rFont val="Tahoma"/>
            <family val="2"/>
          </rPr>
          <t xml:space="preserve">
changed from 405 (original value) to 380 (from Doc # 2246377v1 'Production Data' E104)</t>
        </r>
      </text>
    </comment>
    <comment ref="AZ79" authorId="0" shapeId="0" xr:uid="{00000000-0006-0000-0500-000005000000}">
      <text>
        <r>
          <rPr>
            <b/>
            <sz val="9"/>
            <color indexed="81"/>
            <rFont val="Tahoma"/>
            <family val="2"/>
          </rPr>
          <t>Simon Bunstead:</t>
        </r>
        <r>
          <rPr>
            <sz val="9"/>
            <color indexed="81"/>
            <rFont val="Tahoma"/>
            <family val="2"/>
          </rPr>
          <t xml:space="preserve">
changed from 235 (original value) to 63 (from Doc # 2246377v1 'Production Data' E100)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Simon Bunstead</author>
  </authors>
  <commentList>
    <comment ref="AC72" authorId="0" shapeId="0" xr:uid="{00000000-0006-0000-0600-000001000000}">
      <text>
        <r>
          <rPr>
            <b/>
            <sz val="9"/>
            <color indexed="81"/>
            <rFont val="Tahoma"/>
            <family val="2"/>
          </rPr>
          <t>Simon Bunstead:</t>
        </r>
        <r>
          <rPr>
            <sz val="9"/>
            <color indexed="81"/>
            <rFont val="Tahoma"/>
            <family val="2"/>
          </rPr>
          <t xml:space="preserve">
from Doc # 2246377v1 'Production Data' E106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 Bunstead</author>
  </authors>
  <commentList>
    <comment ref="E19" authorId="0" shapeId="0" xr:uid="{00000000-0006-0000-0C00-000001000000}">
      <text>
        <r>
          <rPr>
            <sz val="9"/>
            <color indexed="81"/>
            <rFont val="Tahoma"/>
            <family val="2"/>
          </rPr>
          <t>Important:
This cell contents is referenced in sheet "Calculations" to represent head of cattle (as a means to measure production).
The cell contents is currently set to "Head" and should only be changed to an equivalent comment.</t>
        </r>
      </text>
    </comment>
    <comment ref="K19" authorId="0" shapeId="0" xr:uid="{00000000-0006-0000-0C00-000002000000}">
      <text>
        <r>
          <rPr>
            <sz val="9"/>
            <color indexed="81"/>
            <rFont val="Tahoma"/>
            <family val="2"/>
          </rPr>
          <t>Important:
This cell contents is referenced in sheet "Opportunity Library" to represent batch rendering.
The cell contents is currently set to "Batch" and should only be changed to an equivalent comment.</t>
        </r>
      </text>
    </comment>
    <comment ref="K21" authorId="0" shapeId="0" xr:uid="{00000000-0006-0000-0C00-000003000000}">
      <text>
        <r>
          <rPr>
            <sz val="9"/>
            <color indexed="81"/>
            <rFont val="Tahoma"/>
            <family val="2"/>
          </rPr>
          <t>Important:
This cell contents is referenced in sheet "Opportunity Library" to represent the absence of rendering.
The cell contents is currently set to "None" and should only be changed to an equivalent comment.</t>
        </r>
      </text>
    </comment>
  </commentList>
</comments>
</file>

<file path=xl/sharedStrings.xml><?xml version="1.0" encoding="utf-8"?>
<sst xmlns="http://schemas.openxmlformats.org/spreadsheetml/2006/main" count="2738" uniqueCount="1081">
  <si>
    <t>Tallow</t>
  </si>
  <si>
    <t>Stockyards</t>
  </si>
  <si>
    <t>Slaughter and Evisceration</t>
  </si>
  <si>
    <t>Hide Processing</t>
  </si>
  <si>
    <t>Blood Processing</t>
  </si>
  <si>
    <t>Rendering</t>
  </si>
  <si>
    <t>Paunch Processing</t>
  </si>
  <si>
    <t>Offal Washing</t>
  </si>
  <si>
    <t>Chilling</t>
  </si>
  <si>
    <t>Boning</t>
  </si>
  <si>
    <t>Packaging</t>
  </si>
  <si>
    <t>Wastewater Treatment</t>
  </si>
  <si>
    <t>Freezing</t>
  </si>
  <si>
    <t>Knife and equipment sterilisers</t>
  </si>
  <si>
    <t>Hand wash stations</t>
  </si>
  <si>
    <t>Slaughter and evisceration</t>
  </si>
  <si>
    <t>Plant cleaning</t>
  </si>
  <si>
    <t>Amenities</t>
  </si>
  <si>
    <t>Hook wash tanks</t>
  </si>
  <si>
    <t>Heat loss from hot water pipes</t>
  </si>
  <si>
    <t>Hot water production</t>
  </si>
  <si>
    <t>Blood processing</t>
  </si>
  <si>
    <t>Tallow processing</t>
  </si>
  <si>
    <t>Heat loss from steam pipes</t>
  </si>
  <si>
    <t>Refrigeration</t>
  </si>
  <si>
    <t>Lighting</t>
  </si>
  <si>
    <t>Air compression</t>
  </si>
  <si>
    <t>Hot Water Use</t>
  </si>
  <si>
    <t>Steam Use</t>
  </si>
  <si>
    <t>Electricity Use</t>
  </si>
  <si>
    <t>MJ / day</t>
  </si>
  <si>
    <t>Total</t>
  </si>
  <si>
    <t>Subtotal</t>
  </si>
  <si>
    <t>Recovered heat</t>
  </si>
  <si>
    <t>Supplementary steam heating</t>
  </si>
  <si>
    <t>Boiler Efficiency</t>
  </si>
  <si>
    <t>Boiler Consumption</t>
  </si>
  <si>
    <t>Total energy input</t>
  </si>
  <si>
    <t>Motors (pumps, fans, conveyors etc.)</t>
  </si>
  <si>
    <t>Total thermal input</t>
  </si>
  <si>
    <t>Total electricity input</t>
  </si>
  <si>
    <t>kL / day</t>
  </si>
  <si>
    <t>Stock watering</t>
  </si>
  <si>
    <t>Stock washing</t>
  </si>
  <si>
    <t>Stockyard washing</t>
  </si>
  <si>
    <t>Truck washing</t>
  </si>
  <si>
    <t>Viscera table wash sprays</t>
  </si>
  <si>
    <t>Head wash</t>
  </si>
  <si>
    <t>Carcase wash</t>
  </si>
  <si>
    <t>Carcase splitting saw</t>
  </si>
  <si>
    <t>Paunch dump and rinse</t>
  </si>
  <si>
    <t>Tripe / bible washing</t>
  </si>
  <si>
    <t>Gut washing</t>
  </si>
  <si>
    <t>Edible offal washing</t>
  </si>
  <si>
    <t>Rendering separators</t>
  </si>
  <si>
    <t>Rendering plant washdown</t>
  </si>
  <si>
    <t>Knife sterilisers</t>
  </si>
  <si>
    <t>Equipment sterilisers</t>
  </si>
  <si>
    <t>Exit / entry hand, boot and apron wash stations</t>
  </si>
  <si>
    <t>Personnel amenities</t>
  </si>
  <si>
    <t>Wash down during shifts</t>
  </si>
  <si>
    <t>Cleaning and sanitising at end of shift</t>
  </si>
  <si>
    <t>Washing tubs, cutting boards and trays</t>
  </si>
  <si>
    <t>Paunch, gut and offal washing</t>
  </si>
  <si>
    <t>Sterilisers and wash stations</t>
  </si>
  <si>
    <t>Variable water use</t>
  </si>
  <si>
    <t>Fixed water use</t>
  </si>
  <si>
    <t>Water</t>
  </si>
  <si>
    <t>Model Inputs</t>
  </si>
  <si>
    <t>Cattle</t>
  </si>
  <si>
    <t>Sheep</t>
  </si>
  <si>
    <t>No</t>
  </si>
  <si>
    <t>Electricity</t>
  </si>
  <si>
    <t>Wastewater</t>
  </si>
  <si>
    <t>kWh</t>
  </si>
  <si>
    <t>GJ</t>
  </si>
  <si>
    <t>kL</t>
  </si>
  <si>
    <t>Yes</t>
  </si>
  <si>
    <t>$ / kWh</t>
  </si>
  <si>
    <t>$ / GJ</t>
  </si>
  <si>
    <t>$ / kL</t>
  </si>
  <si>
    <t>Max</t>
  </si>
  <si>
    <t>Doughnut</t>
  </si>
  <si>
    <t>Min</t>
  </si>
  <si>
    <t>Thermal</t>
  </si>
  <si>
    <t>Electrical</t>
  </si>
  <si>
    <t>Method</t>
  </si>
  <si>
    <t>to</t>
  </si>
  <si>
    <t>Production</t>
  </si>
  <si>
    <t>Calves</t>
  </si>
  <si>
    <t>Units</t>
  </si>
  <si>
    <t>kL / tHSCW</t>
  </si>
  <si>
    <t>tonnes / head</t>
  </si>
  <si>
    <t>Coal</t>
  </si>
  <si>
    <t>tonnes</t>
  </si>
  <si>
    <t>LPG</t>
  </si>
  <si>
    <t>litres</t>
  </si>
  <si>
    <t>Steam</t>
  </si>
  <si>
    <t>Water heating</t>
  </si>
  <si>
    <t>area of saving</t>
  </si>
  <si>
    <t>yes</t>
  </si>
  <si>
    <t>Goat</t>
  </si>
  <si>
    <t>Lamb</t>
  </si>
  <si>
    <t>multiplier</t>
  </si>
  <si>
    <t>Notes/References</t>
  </si>
  <si>
    <t>GJ/t</t>
  </si>
  <si>
    <t>Emission factor</t>
  </si>
  <si>
    <t>NGER Determination Factors</t>
  </si>
  <si>
    <t>Item</t>
  </si>
  <si>
    <t>Fuel combusted</t>
  </si>
  <si>
    <t>Energy content factor</t>
  </si>
  <si>
    <r>
      <t>CO</t>
    </r>
    <r>
      <rPr>
        <b/>
        <vertAlign val="subscript"/>
        <sz val="10"/>
        <color theme="0" tint="-0.249977111117893"/>
        <rFont val="Arial"/>
        <family val="2"/>
      </rPr>
      <t>2</t>
    </r>
  </si>
  <si>
    <r>
      <t>CH</t>
    </r>
    <r>
      <rPr>
        <b/>
        <vertAlign val="subscript"/>
        <sz val="10"/>
        <color theme="0" tint="-0.249977111117893"/>
        <rFont val="Arial"/>
        <family val="2"/>
      </rPr>
      <t>4</t>
    </r>
  </si>
  <si>
    <r>
      <t>N</t>
    </r>
    <r>
      <rPr>
        <b/>
        <vertAlign val="subscript"/>
        <sz val="10"/>
        <color theme="0" tint="-0.249977111117893"/>
        <rFont val="Arial"/>
        <family val="2"/>
      </rPr>
      <t>2</t>
    </r>
    <r>
      <rPr>
        <b/>
        <sz val="10"/>
        <color theme="0" tint="-0.249977111117893"/>
        <rFont val="Arial"/>
        <family val="2"/>
      </rPr>
      <t>O</t>
    </r>
  </si>
  <si>
    <t>CO2e</t>
  </si>
  <si>
    <t>Fuel Combustion - Gaseous Fuels</t>
  </si>
  <si>
    <t>Fuel Combustion - Gaseous FuelsNatural gas distributed in a pipeline</t>
  </si>
  <si>
    <t>Natural gas distributed in a pipeline</t>
  </si>
  <si>
    <t>GJ/m3</t>
  </si>
  <si>
    <t>kgCO2-e/GJ</t>
  </si>
  <si>
    <t>Fuel Combustion - Gaseous FuelsCoal seam methane that is captured for combustion</t>
  </si>
  <si>
    <t>Coal seam methane that is captured for combustion</t>
  </si>
  <si>
    <t>Fuel Combustion - Gaseous FuelsCoal mine waste gas that is captured for combustion</t>
  </si>
  <si>
    <t>Coal mine waste gas that is captured for combustion</t>
  </si>
  <si>
    <t>Fuel Combustion - Gaseous FuelsCompressed natural gas that has reverted to standard conditions</t>
  </si>
  <si>
    <t>Compressed natural gas that has reverted to standard conditions</t>
  </si>
  <si>
    <t>Fuel Combustion - Gaseous FuelsUnprocessed natural gas</t>
  </si>
  <si>
    <t>Unprocessed natural gas</t>
  </si>
  <si>
    <t xml:space="preserve">Fuel Combustion - Gaseous FuelsEthane </t>
  </si>
  <si>
    <t xml:space="preserve">Ethane </t>
  </si>
  <si>
    <t>Fuel Combustion - Gaseous FuelsCoke oven gas</t>
  </si>
  <si>
    <t>Coke oven gas</t>
  </si>
  <si>
    <t>Fuel Combustion - Gaseous FuelsBlast furnace gas</t>
  </si>
  <si>
    <t>Blast furnace gas</t>
  </si>
  <si>
    <t xml:space="preserve">Fuel Combustion - Gaseous FuelsTown gas </t>
  </si>
  <si>
    <t xml:space="preserve">Town gas </t>
  </si>
  <si>
    <t>Fuel Combustion - Gaseous FuelsLiquefied natural gas</t>
  </si>
  <si>
    <t>Liquefied natural gas</t>
  </si>
  <si>
    <t>Fuel Combustion - Gaseous FuelsOther gaseous fossil fuels</t>
  </si>
  <si>
    <t>Other gaseous fossil fuels</t>
  </si>
  <si>
    <t>Fuel Combustion - Gaseous FuelsLandfill biogas that is captured for combustion (methane only)</t>
  </si>
  <si>
    <t>Landfill biogas that is captured for combustion (methane only)</t>
  </si>
  <si>
    <t>Fuel Combustion - Gaseous FuelsSludge biogas that is captured for combustion (methane only)</t>
  </si>
  <si>
    <t>Sludge biogas that is captured for combustion (methane only)</t>
  </si>
  <si>
    <t>Fuel Combustion - Gaseous FuelsA biogas that is captured for combustion, other than those mentioned in items 28 and 29 (methane only)</t>
  </si>
  <si>
    <t>A biogas that is captured for combustion, other than those mentioned in items 28 and 29 (methane only)</t>
  </si>
  <si>
    <t>Fuel Combustion - Liquids for Stationary</t>
  </si>
  <si>
    <t xml:space="preserve">Fuel Combustion - Liquids for StationaryPetroleum based oils </t>
  </si>
  <si>
    <t xml:space="preserve">Petroleum based oils </t>
  </si>
  <si>
    <t>GJ/kL</t>
  </si>
  <si>
    <t>Fuel Combustion - Liquids for StationaryPetroleum based greases</t>
  </si>
  <si>
    <t>Petroleum based greases</t>
  </si>
  <si>
    <t>Fuel Combustion - Liquids for StationaryCrude oil including crude oil condensates</t>
  </si>
  <si>
    <t>Crude oil including crude oil condensates</t>
  </si>
  <si>
    <t xml:space="preserve">Fuel Combustion - Liquids for StationaryOther natural gas liquids </t>
  </si>
  <si>
    <t xml:space="preserve">Other natural gas liquids </t>
  </si>
  <si>
    <t>Fuel Combustion - Liquids for StationaryStationary Unleaded</t>
  </si>
  <si>
    <t>Stationary Unleaded</t>
  </si>
  <si>
    <t>Fuel Combustion - Liquids for StationaryGasoline for use as fuel in an aircraft</t>
  </si>
  <si>
    <t>Gasoline for use as fuel in an aircraft</t>
  </si>
  <si>
    <t>Fuel Combustion - Liquids for StationaryKerosene (other than for use as fuel in an aircraft)</t>
  </si>
  <si>
    <t>Kerosene (other than for use as fuel in an aircraft)</t>
  </si>
  <si>
    <t>Fuel Combustion - Liquids for StationaryKerosene for use as fuel in an aircraft</t>
  </si>
  <si>
    <t>Kerosene for use as fuel in an aircraft</t>
  </si>
  <si>
    <t>Fuel Combustion - Liquids for StationaryHeating oil</t>
  </si>
  <si>
    <t>Heating oil</t>
  </si>
  <si>
    <t>Fuel Combustion - Liquids for StationaryStationary Diesel oil</t>
  </si>
  <si>
    <t>Stationary Diesel oil</t>
  </si>
  <si>
    <t>Fuel Combustion - Liquids for StationaryFuel oil</t>
  </si>
  <si>
    <t>Fuel oil</t>
  </si>
  <si>
    <t>Fuel Combustion - Liquids for StationaryLiquefied aromatic hydrocarbons</t>
  </si>
  <si>
    <t>Liquefied aromatic hydrocarbons</t>
  </si>
  <si>
    <t>Fuel Combustion - Liquids for StationarySolvents if mineral turpentine or white spirits</t>
  </si>
  <si>
    <t>Solvents if mineral turpentine or white spirits</t>
  </si>
  <si>
    <t>Fuel Combustion - Liquids for StationaryStationary LPG</t>
  </si>
  <si>
    <t>Stationary LPG</t>
  </si>
  <si>
    <t>Fuel Combustion - Liquids for StationaryNaphtha</t>
  </si>
  <si>
    <t>Naphtha</t>
  </si>
  <si>
    <t>Fuel Combustion - Liquids for StationaryPetroleum coke</t>
  </si>
  <si>
    <t>Petroleum coke</t>
  </si>
  <si>
    <t>Fuel Combustion - Liquids for StationaryRefinery gas and liquids</t>
  </si>
  <si>
    <t>Refinery gas and liquids</t>
  </si>
  <si>
    <t>Fuel Combustion - Liquids for StationaryRefinery coke</t>
  </si>
  <si>
    <t>Refinery coke</t>
  </si>
  <si>
    <t>Fuel Combustion - Liquids for StationaryPetroleum based products other than:
(a) petroleum based oils and petroleum based greases mentioned in items 31 and 32; and
(b) the petroleum based products mentioned in items 33 to 48.</t>
  </si>
  <si>
    <t>Petroleum based products other than:
(a) petroleum based oils and petroleum based greases mentioned in items 31 and 32; and
(b) the petroleum based products mentioned in items 33 to 48.</t>
  </si>
  <si>
    <t xml:space="preserve">Fuel Combustion - Liquids for StationaryBiodiesel </t>
  </si>
  <si>
    <t xml:space="preserve">Biodiesel </t>
  </si>
  <si>
    <t>Fuel Combustion - Liquids for StationaryEthanol for use as a fuel in an internal combustion engine</t>
  </si>
  <si>
    <t>Ethanol for use as a fuel in an internal combustion engine</t>
  </si>
  <si>
    <t>Fuel Combustion - Liquids for StationaryBiofuels other than those mentioned in items 50 and 51</t>
  </si>
  <si>
    <t>Biofuels other than those mentioned in items 50 and 51</t>
  </si>
  <si>
    <t>Fuel Combustion - Liquids for Transport</t>
  </si>
  <si>
    <t>Fuel Combustion - Liquids for TransportTransport Unleaded</t>
  </si>
  <si>
    <t>Transport Unleaded</t>
  </si>
  <si>
    <t>Fuel Combustion - Liquids for TransportTransport Diesel oil</t>
  </si>
  <si>
    <t>Transport Diesel oil</t>
  </si>
  <si>
    <t>Fuel Combustion - Liquids for TransportGasoline for use as fuel in an aircraft</t>
  </si>
  <si>
    <t>Fuel Combustion - Liquids for TransportKerosene for use as fuel in an aircraft</t>
  </si>
  <si>
    <t>Fuel Combustion - Liquids for TransportFuel oil</t>
  </si>
  <si>
    <t>Fuel Combustion - Liquids for TransportTransport LPG</t>
  </si>
  <si>
    <t>Transport LPG</t>
  </si>
  <si>
    <t>Fuel Combustion - Liquids for TransportBiodiesel</t>
  </si>
  <si>
    <t>Biodiesel</t>
  </si>
  <si>
    <t>Fuel Combustion - Liquids for TransportEthanol for use as fuel in an internal combustion engine</t>
  </si>
  <si>
    <t>Ethanol for use as fuel in an internal combustion engine</t>
  </si>
  <si>
    <t>Fuel Combustion - Liquids for TransportBiofuels other than those mentioned in items 59 and 60</t>
  </si>
  <si>
    <t>Biofuels other than those mentioned in items 59 and 60</t>
  </si>
  <si>
    <t>Fuel Combustion - Liquids for TransportNatural gas (light duty vehicles)</t>
  </si>
  <si>
    <t>Natural gas (light duty vehicles)</t>
  </si>
  <si>
    <t>Fuel Combustion - Liquids for TransportNatural gas (heavy duty vehicles)</t>
  </si>
  <si>
    <t>Natural gas (heavy duty vehicles)</t>
  </si>
  <si>
    <t>Scope 2</t>
  </si>
  <si>
    <t>Scope 2Electricity - SWIS</t>
  </si>
  <si>
    <t>Electricity - SWIS</t>
  </si>
  <si>
    <t>GJ/kWh</t>
  </si>
  <si>
    <t>kgCO2-e/kWh</t>
  </si>
  <si>
    <t>Scope 2Electricity - NT and off-grid</t>
  </si>
  <si>
    <t>Electricity - NT and off-grid</t>
  </si>
  <si>
    <t>Energy commodities</t>
  </si>
  <si>
    <t>Fugitives (flared)</t>
  </si>
  <si>
    <r>
      <t>Emission factor (kg CO</t>
    </r>
    <r>
      <rPr>
        <b/>
        <vertAlign val="subscript"/>
        <sz val="10"/>
        <color theme="0" tint="-0.249977111117893"/>
        <rFont val="Arial"/>
        <family val="2"/>
      </rPr>
      <t>2</t>
    </r>
    <r>
      <rPr>
        <b/>
        <sz val="10"/>
        <color theme="0" tint="-0.249977111117893"/>
        <rFont val="Arial"/>
        <family val="2"/>
      </rPr>
      <t>e/t flared)</t>
    </r>
  </si>
  <si>
    <t>Fugitives (flared)Natural Gas Production and Processing - gas flared</t>
  </si>
  <si>
    <t>Natural Gas Production and Processing - gas flared</t>
  </si>
  <si>
    <t>kgCO2-e/t</t>
  </si>
  <si>
    <t>NGER Determination, section 3.85, factor EFij</t>
  </si>
  <si>
    <t>Fugitives (flared)Crude oil production - unprocessed gas flared</t>
  </si>
  <si>
    <t>Crude oil production - unprocessed gas flared</t>
  </si>
  <si>
    <t>NGER Determination, section 3.52, factor EFij</t>
  </si>
  <si>
    <t>Fugitives (flared)Crude oil production - crude oil flared</t>
  </si>
  <si>
    <t>Crude oil production - crude oil flared</t>
  </si>
  <si>
    <r>
      <t>Emission factor (kg CO</t>
    </r>
    <r>
      <rPr>
        <b/>
        <vertAlign val="subscript"/>
        <sz val="10"/>
        <color theme="0" tint="-0.249977111117893"/>
        <rFont val="Arial"/>
        <family val="2"/>
      </rPr>
      <t>2</t>
    </r>
    <r>
      <rPr>
        <b/>
        <sz val="10"/>
        <color theme="0" tint="-0.249977111117893"/>
        <rFont val="Arial"/>
        <family val="2"/>
      </rPr>
      <t>e/t throughput)</t>
    </r>
  </si>
  <si>
    <t>Fugitives (non-flared)</t>
  </si>
  <si>
    <t>Fugitives (non-flared)Crude oil fugitives - General leaks</t>
  </si>
  <si>
    <t>Crude oil fugitives - General leaks</t>
  </si>
  <si>
    <t>NGER Determination, section 3.49, factor EF(l)ij</t>
  </si>
  <si>
    <t>Fugitives (non-flared)Crude oil fugitives - Tanks</t>
  </si>
  <si>
    <t>Crude oil fugitives - Tanks</t>
  </si>
  <si>
    <t xml:space="preserve">NGER Determination, section 3.49 for Fixed Roof Tanks </t>
  </si>
  <si>
    <t>Fugitives (non-flared)Natural gas fugitives - General leaks</t>
  </si>
  <si>
    <t>Natural gas fugitives - General leaks</t>
  </si>
  <si>
    <t>NGER Determination section 3.72</t>
  </si>
  <si>
    <t>Fugitives (non-flared)Natural gas fugitives - Venting</t>
  </si>
  <si>
    <t>Natural gas fugitives - Venting</t>
  </si>
  <si>
    <t>To be hardcoded on each sheet.</t>
  </si>
  <si>
    <t>Fugitives (non-flared)Natural gas fugitives - Pipelines</t>
  </si>
  <si>
    <t>Natural gas fugitives - Pipelines</t>
  </si>
  <si>
    <t>kgCO2-e/km</t>
  </si>
  <si>
    <t>Method 2, converted from BOP values</t>
  </si>
  <si>
    <t>Fugitives (non-flared)Natural gas fugitives - Tanks</t>
  </si>
  <si>
    <t>Natural gas fugitives - Tanks</t>
  </si>
  <si>
    <t>NGER Determination section 3.72 for "fixed roof tank"</t>
  </si>
  <si>
    <r>
      <t>Emission factor (kg CO</t>
    </r>
    <r>
      <rPr>
        <b/>
        <vertAlign val="subscript"/>
        <sz val="10"/>
        <color theme="0" tint="-0.249977111117893"/>
        <rFont val="Arial"/>
        <family val="2"/>
      </rPr>
      <t>2</t>
    </r>
    <r>
      <rPr>
        <b/>
        <sz val="10"/>
        <color theme="0" tint="-0.249977111117893"/>
        <rFont val="Arial"/>
        <family val="2"/>
      </rPr>
      <t>e/t specified)</t>
    </r>
  </si>
  <si>
    <t>Minor sources</t>
  </si>
  <si>
    <t>Minor sourcesSF6 installed</t>
  </si>
  <si>
    <t>SF6 installed</t>
  </si>
  <si>
    <t>Minor sourcesDomestic Wastewater Treatment</t>
  </si>
  <si>
    <t>Domestic Wastewater Treatment</t>
  </si>
  <si>
    <t>tCO2-e/t</t>
  </si>
  <si>
    <t>Method 2 factors</t>
  </si>
  <si>
    <t>(various)</t>
  </si>
  <si>
    <t>Part 1—Fuel combustion—solid fuels and certain coal‑based products</t>
  </si>
  <si>
    <r>
      <t>kg CO</t>
    </r>
    <r>
      <rPr>
        <b/>
        <vertAlign val="subscript"/>
        <sz val="10"/>
        <color theme="1"/>
        <rFont val="Times New Roman"/>
        <family val="1"/>
      </rPr>
      <t>2</t>
    </r>
    <r>
      <rPr>
        <b/>
        <sz val="10"/>
        <color theme="1"/>
        <rFont val="Times New Roman"/>
        <family val="1"/>
      </rPr>
      <t>‑e/GJ</t>
    </r>
  </si>
  <si>
    <t>(relevant oxidation factors incorporated)</t>
  </si>
  <si>
    <r>
      <t>CO</t>
    </r>
    <r>
      <rPr>
        <b/>
        <vertAlign val="subscript"/>
        <sz val="10"/>
        <color theme="1"/>
        <rFont val="Times New Roman"/>
        <family val="1"/>
      </rPr>
      <t>2</t>
    </r>
  </si>
  <si>
    <r>
      <t>CH</t>
    </r>
    <r>
      <rPr>
        <b/>
        <vertAlign val="subscript"/>
        <sz val="10"/>
        <color theme="1"/>
        <rFont val="Times New Roman"/>
        <family val="1"/>
      </rPr>
      <t>4</t>
    </r>
  </si>
  <si>
    <r>
      <t>N</t>
    </r>
    <r>
      <rPr>
        <b/>
        <vertAlign val="subscript"/>
        <sz val="10"/>
        <color theme="1"/>
        <rFont val="Times New Roman"/>
        <family val="1"/>
      </rPr>
      <t>2</t>
    </r>
    <r>
      <rPr>
        <b/>
        <sz val="10"/>
        <color theme="1"/>
        <rFont val="Times New Roman"/>
        <family val="1"/>
      </rPr>
      <t>O</t>
    </r>
  </si>
  <si>
    <t>Bituminous coal</t>
  </si>
  <si>
    <t>1A</t>
  </si>
  <si>
    <t>Sub‑bituminous coal</t>
  </si>
  <si>
    <t>1B</t>
  </si>
  <si>
    <t>Anthracite</t>
  </si>
  <si>
    <t>Brown coal</t>
  </si>
  <si>
    <t>Coking coal</t>
  </si>
  <si>
    <t>Coal briquettes</t>
  </si>
  <si>
    <t>Coal coke</t>
  </si>
  <si>
    <t>Coal tar</t>
  </si>
  <si>
    <t>Solid fossil fuels other than those mentioned in items 1 to 5</t>
  </si>
  <si>
    <t>Industrial materials and tyres that are derived from fossil fuels, if recycled and combusted to produce heat or electricity</t>
  </si>
  <si>
    <t>Non‑biomass municipal materials, if recycled and combusted to produce heat or electricity</t>
  </si>
  <si>
    <t>Dry wood</t>
  </si>
  <si>
    <t>Green and air dried wood</t>
  </si>
  <si>
    <t>Sulphite lyes</t>
  </si>
  <si>
    <t>Bagasse</t>
  </si>
  <si>
    <t>Biomass municipal and industrial materials, if recycled and combusted to produce heat or electricity</t>
  </si>
  <si>
    <t>Charcoal</t>
  </si>
  <si>
    <t>Primary solid biomass fuels other than those mentioned in items 10 to 15</t>
  </si>
  <si>
    <t>Note:</t>
  </si>
  <si>
    <t>Energy content and emission factors for coal products are measured on an as combusted basis. The energy content for black coal and coking coal (metallurgical coal) is on a washed basis.</t>
  </si>
  <si>
    <t>Part 2—Fuel combustion—gaseous fuels</t>
  </si>
  <si>
    <r>
      <t>(GJ/m</t>
    </r>
    <r>
      <rPr>
        <b/>
        <vertAlign val="superscript"/>
        <sz val="10"/>
        <color theme="1"/>
        <rFont val="Times New Roman"/>
        <family val="1"/>
      </rPr>
      <t>3</t>
    </r>
    <r>
      <rPr>
        <b/>
        <sz val="10"/>
        <color theme="1"/>
        <rFont val="Times New Roman"/>
        <family val="1"/>
      </rPr>
      <t xml:space="preserve"> unless otherwise indicated)</t>
    </r>
  </si>
  <si>
    <r>
      <t>39.3 × 10</t>
    </r>
    <r>
      <rPr>
        <vertAlign val="superscript"/>
        <sz val="10"/>
        <color theme="1"/>
        <rFont val="Times New Roman"/>
        <family val="1"/>
      </rPr>
      <t>‑3</t>
    </r>
  </si>
  <si>
    <r>
      <t>37.7 × 10</t>
    </r>
    <r>
      <rPr>
        <vertAlign val="superscript"/>
        <sz val="10"/>
        <color theme="1"/>
        <rFont val="Times New Roman"/>
        <family val="1"/>
      </rPr>
      <t>‑3</t>
    </r>
  </si>
  <si>
    <t>Ethane</t>
  </si>
  <si>
    <r>
      <t>62.9 × 10</t>
    </r>
    <r>
      <rPr>
        <vertAlign val="superscript"/>
        <sz val="10"/>
        <color theme="1"/>
        <rFont val="Times New Roman"/>
        <family val="1"/>
      </rPr>
      <t>‑3</t>
    </r>
  </si>
  <si>
    <r>
      <t>18.1 × 10</t>
    </r>
    <r>
      <rPr>
        <vertAlign val="superscript"/>
        <sz val="10"/>
        <color theme="1"/>
        <rFont val="Times New Roman"/>
        <family val="1"/>
      </rPr>
      <t>‑3</t>
    </r>
  </si>
  <si>
    <r>
      <t>4.0 × 10</t>
    </r>
    <r>
      <rPr>
        <vertAlign val="superscript"/>
        <sz val="10"/>
        <color theme="1"/>
        <rFont val="Times New Roman"/>
        <family val="1"/>
      </rPr>
      <t>‑3</t>
    </r>
  </si>
  <si>
    <t>Town gas</t>
  </si>
  <si>
    <r>
      <t>39.0 × 10</t>
    </r>
    <r>
      <rPr>
        <vertAlign val="superscript"/>
        <sz val="10"/>
        <color theme="1"/>
        <rFont val="Times New Roman"/>
        <family val="1"/>
      </rPr>
      <t>‑3</t>
    </r>
  </si>
  <si>
    <t>25.3 GJ/kL</t>
  </si>
  <si>
    <t>Gaseous fossil fuels other than those mentioned in items 17 to 26</t>
  </si>
  <si>
    <t>A biogas that is captured for combustion, other than those mentioned in items 28 and 29 (methane only)</t>
  </si>
  <si>
    <t>Part 3—Fuel combustion—liquid fuels and certain petroleum‑based products for stationary energy purposes</t>
  </si>
  <si>
    <t>(GJ/kL unless otherwise indicated)</t>
  </si>
  <si>
    <t>Petroleum based oils (other than petroleum based oil used as fuel)</t>
  </si>
  <si>
    <t>45.3 GJ/t</t>
  </si>
  <si>
    <t>46.5 GJ/t</t>
  </si>
  <si>
    <t>Gasoline (other than for use as fuel in an aircraft)</t>
  </si>
  <si>
    <t>Diesel oil</t>
  </si>
  <si>
    <t>Liquefied petroleum gas</t>
  </si>
  <si>
    <t>34.2 GJ/t</t>
  </si>
  <si>
    <t>42.9 GJ/t</t>
  </si>
  <si>
    <t>Petroleum based products other than:</t>
  </si>
  <si>
    <t>(a) petroleum based oils and petroleum based greases mentioned in items 31 and 32; and</t>
  </si>
  <si>
    <t>(b) the petroleum based products mentioned in items 33 to 48.</t>
  </si>
  <si>
    <t>Biofuels other than those mentioned in items 50 and 51</t>
  </si>
  <si>
    <t>GJ / litre</t>
  </si>
  <si>
    <t>Total Electricity</t>
  </si>
  <si>
    <t>Total Thermal</t>
  </si>
  <si>
    <t>Total Water</t>
  </si>
  <si>
    <t>Opportunity Description</t>
  </si>
  <si>
    <t>Questionnaire trigger(s)</t>
  </si>
  <si>
    <t>Saving Metrics</t>
  </si>
  <si>
    <t>elec</t>
  </si>
  <si>
    <t>thermal</t>
  </si>
  <si>
    <t>water</t>
  </si>
  <si>
    <t>typical payback (years)</t>
  </si>
  <si>
    <t>% of total site usage saved</t>
  </si>
  <si>
    <t>Facility Check</t>
  </si>
  <si>
    <t>What facility required?</t>
  </si>
  <si>
    <t>Has Facility? T/F</t>
  </si>
  <si>
    <t>kWh / tHSCW</t>
  </si>
  <si>
    <t>kL / year</t>
  </si>
  <si>
    <t>Unit of Measure</t>
  </si>
  <si>
    <t>convert to SI unit of measure</t>
  </si>
  <si>
    <t>SI unit of Measure</t>
  </si>
  <si>
    <t>1) Convert consumption and cost values to SI units</t>
  </si>
  <si>
    <t>Benchmarks</t>
  </si>
  <si>
    <t>Source</t>
  </si>
  <si>
    <t>UOM</t>
  </si>
  <si>
    <t>Leading</t>
  </si>
  <si>
    <t>Lagging</t>
  </si>
  <si>
    <t>%</t>
  </si>
  <si>
    <t>tHSCW / year</t>
  </si>
  <si>
    <t>Performance</t>
  </si>
  <si>
    <t>Average</t>
  </si>
  <si>
    <t>MLA (1998b). Benchmarking of environmental performance. Sydney.</t>
  </si>
  <si>
    <t>GJ / tonne</t>
  </si>
  <si>
    <t>nil</t>
  </si>
  <si>
    <t>Production Output Check</t>
  </si>
  <si>
    <t>Minimum tHSCW output required?</t>
  </si>
  <si>
    <t>Meets production requirement? T/F</t>
  </si>
  <si>
    <t>Present to user? T/F</t>
  </si>
  <si>
    <t>Good</t>
  </si>
  <si>
    <t>Fair</t>
  </si>
  <si>
    <t>Poor</t>
  </si>
  <si>
    <t>Actual</t>
  </si>
  <si>
    <t>not applied</t>
  </si>
  <si>
    <t>TRUE</t>
  </si>
  <si>
    <t>Has zero savings?</t>
  </si>
  <si>
    <t>Category of Opportunity</t>
  </si>
  <si>
    <t>Improve process technology</t>
  </si>
  <si>
    <t>Assess cogeneration</t>
  </si>
  <si>
    <t>Assess renewables</t>
  </si>
  <si>
    <t>Opportunity Library</t>
  </si>
  <si>
    <t>Opportunity Category</t>
  </si>
  <si>
    <t>Will this opportunity category display in the preliminary results if the performance of the relevant saving area is ...?</t>
  </si>
  <si>
    <t>Consider Opportunity?</t>
  </si>
  <si>
    <t>overall</t>
  </si>
  <si>
    <t># of FALSE's before</t>
  </si>
  <si>
    <t># of TRUE's</t>
  </si>
  <si>
    <t># of FALSE's after</t>
  </si>
  <si>
    <t>Improve housekeeping</t>
  </si>
  <si>
    <t xml:space="preserve">No rendering </t>
  </si>
  <si>
    <t>Small body (all else)</t>
  </si>
  <si>
    <t>Large body (cattle &amp; calves)</t>
  </si>
  <si>
    <t>2) Calculate tHSCW for the site</t>
  </si>
  <si>
    <t>3) Calculate site performance, ready for comparison to benchmark</t>
  </si>
  <si>
    <t>Annual consumption</t>
  </si>
  <si>
    <t>Calculated rate</t>
  </si>
  <si>
    <t>What facilities do you have in your plant?</t>
  </si>
  <si>
    <t>Question text</t>
  </si>
  <si>
    <t>required user input</t>
  </si>
  <si>
    <t>optional user input</t>
  </si>
  <si>
    <t>tHSCW p.a.</t>
  </si>
  <si>
    <t>kWh / year</t>
  </si>
  <si>
    <t>"Calculate user's plant performance for each benchmark category"</t>
  </si>
  <si>
    <t>Development of Water Benchmark</t>
  </si>
  <si>
    <t>1) From literature review, import typical water use breakdown at a typical meat plant</t>
  </si>
  <si>
    <t>2) Apply industry experience to apportion this water use across the site facilities</t>
  </si>
  <si>
    <t>Plant services</t>
  </si>
  <si>
    <t>Condensers</t>
  </si>
  <si>
    <t>Cooling tower makeup</t>
  </si>
  <si>
    <t>Boiler feed makeup</t>
  </si>
  <si>
    <t>Refrigeration defrost</t>
  </si>
  <si>
    <t>3) From literature review, import figures for best-practice water use at a full-facility plant</t>
  </si>
  <si>
    <t>4) Import performance figures from real-world sites to cross-check best-practice figures for validation</t>
  </si>
  <si>
    <t>5) From literature review, import spread of site performance to establish dial gauge range</t>
  </si>
  <si>
    <t>Site</t>
  </si>
  <si>
    <t>Location</t>
  </si>
  <si>
    <t>Benchmark</t>
  </si>
  <si>
    <t>average</t>
  </si>
  <si>
    <t>Lagging / Leading</t>
  </si>
  <si>
    <t>Dial gauge ranges:</t>
  </si>
  <si>
    <t>Best-practice benchmark facility</t>
  </si>
  <si>
    <t>Best-practice benchmark facility x [lagging / leading]</t>
  </si>
  <si>
    <t>Calculation description</t>
  </si>
  <si>
    <t>For example, for a full-facility plant:</t>
  </si>
  <si>
    <t>Development of Energy Benchmarks</t>
  </si>
  <si>
    <t>1) From literature review, import typical energy use breakdown at a typical meat plant</t>
  </si>
  <si>
    <t>2) Subdivide by plants with / without rendering and apply industry experience to apportion this energy use (hot water, steam, electricity) across the site facilities</t>
  </si>
  <si>
    <t>3) From literature review, import figures for best-practice energy use at a full-facility plant</t>
  </si>
  <si>
    <t>MJ / tHSCW</t>
  </si>
  <si>
    <t>Dial gauge range (as a multiple of best-practice benchmark):</t>
  </si>
  <si>
    <t>User's plant facilities</t>
  </si>
  <si>
    <t>1) Import the relevant best-practice benchmark dataset based on if the user's site has rendering</t>
  </si>
  <si>
    <t>Best-practice benchmark dataset:</t>
  </si>
  <si>
    <t>These figures are yet to be adjusted for the user's plant capacity and species mix.</t>
  </si>
  <si>
    <t>"Further modify the benchmark plant based on user's production capacity and predominant species."</t>
  </si>
  <si>
    <t>Development of Benchmark Adjustments</t>
  </si>
  <si>
    <t>1) From literature review, import figures to identify species-specific performance</t>
  </si>
  <si>
    <t>2) Apply industry experience to calculate performance differences between large body and small body species</t>
  </si>
  <si>
    <t>3) From industry experience, model plant performance for partial-capacity production</t>
  </si>
  <si>
    <t>% of production capacity</t>
  </si>
  <si>
    <t>Uplift factor on benchmark</t>
  </si>
  <si>
    <t>Current</t>
  </si>
  <si>
    <t>Maximum</t>
  </si>
  <si>
    <t>What is your current production?</t>
  </si>
  <si>
    <t>What is your maximum production?</t>
  </si>
  <si>
    <t>Current production as a % of maximum production</t>
  </si>
  <si>
    <t>Species mix adjustment factor</t>
  </si>
  <si>
    <t>Production adjustment factor</t>
  </si>
  <si>
    <t>Lower bound</t>
  </si>
  <si>
    <t>Upper bound</t>
  </si>
  <si>
    <t>Modified best-practice benchmarks (before species and production adjustments):</t>
  </si>
  <si>
    <t>Modified &amp; adjusted best-practice benchmarks (after species and production adjustments):</t>
  </si>
  <si>
    <t>Here, a number less than zero indicates that per tonne of production, less energy or water is required to process this species type compared to the best-practice benchmark site</t>
  </si>
  <si>
    <t>Here, a number greater than zero indicates that more energy or water is required to produce a tonne of meat compared to the best-practice benchmark site production figures</t>
  </si>
  <si>
    <t>"For each benchmark category (electrical, thermal, water): compare user's plant performance against modified benchmark plant performance and rank each category as poor, average or good performance."</t>
  </si>
  <si>
    <t>6) Establish performance range within dial gauge range for poor, average and good performance</t>
  </si>
  <si>
    <t>Lower Bound</t>
  </si>
  <si>
    <t>Upper Bound</t>
  </si>
  <si>
    <t>2) Calculate user's site performance against benchmark</t>
  </si>
  <si>
    <t>Modified &amp; adjusted best-practice benchmarks (after species and production adjustments)</t>
  </si>
  <si>
    <t>user's site performance</t>
  </si>
  <si>
    <t>dial gauge range</t>
  </si>
  <si>
    <t>1) Import best-practice benchmarks,  dial gauge range, performance bands and user's site performance</t>
  </si>
  <si>
    <t>upper bound of dial gauge</t>
  </si>
  <si>
    <t>MJ / year</t>
  </si>
  <si>
    <t>Thermal &amp; Electrical</t>
  </si>
  <si>
    <t>Best</t>
  </si>
  <si>
    <t>Worst</t>
  </si>
  <si>
    <t>User's site</t>
  </si>
  <si>
    <t>% position</t>
  </si>
  <si>
    <t>Rating</t>
  </si>
  <si>
    <t>1) Using industry experience, establish a performance pyramid to categorise performance improvement opportunities</t>
  </si>
  <si>
    <t>2) Categorise pyramid steps into performance bands and provide descriptions of performance improvement opportunities and next actions</t>
  </si>
  <si>
    <t>lower</t>
  </si>
  <si>
    <t>upper</t>
  </si>
  <si>
    <t>mid</t>
  </si>
  <si>
    <t>Lower spread</t>
  </si>
  <si>
    <t>Upper spread</t>
  </si>
  <si>
    <t>adjusted payback (years)</t>
  </si>
  <si>
    <t>thermal (site /w rendering)</t>
  </si>
  <si>
    <t>thermal (site w/o rendering)</t>
  </si>
  <si>
    <t>back-calculated saving 
( [GJ] / year )-thermal</t>
  </si>
  <si>
    <t>back-calculated saving 
( [kWh] / year )-elec</t>
  </si>
  <si>
    <t>back-calculated saving 
( [kL] / year )-water</t>
  </si>
  <si>
    <t>Passes the payback threshold?</t>
  </si>
  <si>
    <t>What is the maximum payback period you will consider for a performance improvement project?</t>
  </si>
  <si>
    <t>years</t>
  </si>
  <si>
    <t>3) Prepare 'dial gauge' figures, ready for graphing</t>
  </si>
  <si>
    <t>Best practice / minimum value</t>
  </si>
  <si>
    <t>Actual performance</t>
  </si>
  <si>
    <t>Worst / maximum value</t>
  </si>
  <si>
    <t>Thermal (MJ / tHSCW)</t>
  </si>
  <si>
    <t>Electricity (kWh / tHSCW)</t>
  </si>
  <si>
    <t>Water (kL / tHSCW)</t>
  </si>
  <si>
    <t>Actual [UOM]</t>
  </si>
  <si>
    <t>Comparative [min/max]</t>
  </si>
  <si>
    <t>Dial on dial gauge</t>
  </si>
  <si>
    <t>"For each benchmark category, place the site on the performance pyramid. Performance in each benchmark category determines the progression of the site up the performance pyramid for that category. That progression determines which improvement opportunities are screened: good performance screens out basic opportunities and vice-versa."</t>
  </si>
  <si>
    <t>1) From literature review, import performance improvement opportunities</t>
  </si>
  <si>
    <t>2) Categorise each according to performance pyramid</t>
  </si>
  <si>
    <t>4) Conduct further screening, based on the specifics of the opportunity</t>
  </si>
  <si>
    <t>6) back-calculate saving metrics based on commodity rates (including modifying the payback period)</t>
  </si>
  <si>
    <t>7) Conduct final screening for user's maximum payback period</t>
  </si>
  <si>
    <t>Performance_Descriptor_List</t>
  </si>
  <si>
    <t>Min of adjusted payback (years)-lower</t>
  </si>
  <si>
    <t>Max of adjusted payback (years)-upper</t>
  </si>
  <si>
    <t>Consider Opportunity?-thermal</t>
  </si>
  <si>
    <t>Consider Opportunity?-elec</t>
  </si>
  <si>
    <t>Consider Opportunity?-water</t>
  </si>
  <si>
    <t>Present benchmarking results and quantified improvement opportunities to the user. The top 4 opportunities that save the most cost per annum for each benchmark category are presented to the user.</t>
  </si>
  <si>
    <t>1) create pivot tables of the opportunities list, applying filters to identify key metrics</t>
  </si>
  <si>
    <t>2) summarise these pivot tables via offest formula to make presentation to the end output sheet easier.</t>
  </si>
  <si>
    <t>3) apply rounding to provide approximate savings figures to the end user so as not to offer false precision</t>
  </si>
  <si>
    <t>number of significant figures for $ values:</t>
  </si>
  <si>
    <t>number of significant figures for payback period:</t>
  </si>
  <si>
    <t>number of significant figures to round benchmark figures to</t>
  </si>
  <si>
    <t>CAPEX ($), to 2 digits</t>
  </si>
  <si>
    <t>Payback range (years)</t>
  </si>
  <si>
    <t>Link to more information</t>
  </si>
  <si>
    <t>Performance Opportunity Example</t>
  </si>
  <si>
    <t>imported from another worksheet</t>
  </si>
  <si>
    <t>exported to another worksheet</t>
  </si>
  <si>
    <t>Commodity</t>
  </si>
  <si>
    <t>literature review reference required / needs QA</t>
  </si>
  <si>
    <t>Facilities_List</t>
  </si>
  <si>
    <t>"Benchmark-Energy"</t>
  </si>
  <si>
    <t>See:</t>
  </si>
  <si>
    <t>"Benchmark-Water"</t>
  </si>
  <si>
    <t>"Benchmark-Adjustments"</t>
  </si>
  <si>
    <t>method step</t>
  </si>
  <si>
    <t>heading</t>
  </si>
  <si>
    <t>"Performance Pyramid"</t>
  </si>
  <si>
    <t>"Opportunity Library"</t>
  </si>
  <si>
    <t>Method (presented in reverse due to the pivot tables and lookup formula)</t>
  </si>
  <si>
    <t>3) Identify area of saving (water, hot water, steam, electricity) and perform initial screening based on performance pyramid</t>
  </si>
  <si>
    <t>Hyperlink to URL</t>
  </si>
  <si>
    <t>What is the description of this Opportunity Category and what are some next actions you could consider?</t>
  </si>
  <si>
    <t>Fuel Oil</t>
  </si>
  <si>
    <t>Retrieved from: http://www.sustainability.vic.gov.au/publications-and-research/knowledge-archive/bioenergy</t>
  </si>
  <si>
    <t>PDF: http://www.sustainability.vic.gov.au/-/media/resources/documents/publications-and-research/knowledge-archive/bioenergy-resource-in-victoria/archive-tallow-resource-assessment.pdf?la=en</t>
  </si>
  <si>
    <t>pp. 21, Table 3</t>
  </si>
  <si>
    <t>Calorific Value (MJ/kg or GJ/tonne.) Tallow (Dry Basis)</t>
  </si>
  <si>
    <t>38.0 - 39.7</t>
  </si>
  <si>
    <t>Sustainability Victoria - Assumptions in Tallow as a fuel paper</t>
  </si>
  <si>
    <t>http://www.ampc.com.au/2015/07/Efficient-lighting-options-and-review-of-lighting-standards-for-abattoirs</t>
  </si>
  <si>
    <t>Quantify each improvement opportunity, first using default cost figures. Then, if user's cost data is available, modify savings and payback periods with these figures. Screen out opportunities that exceed the user's maximum payback threshold.</t>
  </si>
  <si>
    <t>imports from another worksheet</t>
  </si>
  <si>
    <t>exports to another worksheet</t>
  </si>
  <si>
    <t>Payback Min</t>
  </si>
  <si>
    <t>Payback Max</t>
  </si>
  <si>
    <t>Savings $ / year total</t>
  </si>
  <si>
    <t>CAPEX</t>
  </si>
  <si>
    <t>URL</t>
  </si>
  <si>
    <t>Count of Opportunity Description</t>
  </si>
  <si>
    <t>Install efficient equipment</t>
  </si>
  <si>
    <t>Each section should be reviewed and completed before progressing to the outputs sheet.</t>
  </si>
  <si>
    <t>fixed descriptive text</t>
  </si>
  <si>
    <t>additional information</t>
  </si>
  <si>
    <t>Source: Eco-Efficiency Manual for Meat Processing, Meat and Livestock Australia Ltd, 2002</t>
  </si>
  <si>
    <r>
      <rPr>
        <vertAlign val="superscript"/>
        <sz val="10"/>
        <rFont val="Arial"/>
        <family val="2"/>
        <scheme val="minor"/>
      </rPr>
      <t>1</t>
    </r>
    <r>
      <rPr>
        <sz val="10"/>
        <rFont val="Arial"/>
        <family val="2"/>
        <scheme val="minor"/>
      </rPr>
      <t>MLA (1998b). Benchmarking of environmental performance. Sydney.</t>
    </r>
  </si>
  <si>
    <t>Source: Energy efficiency opportunities program report, Meat &amp; Livestock Australia Ltd, March 2011 [Doc#:2215368v1 pg 9]</t>
  </si>
  <si>
    <t>Source: Water Use in Red Meat Processing, Australian Meat Processor Corporation, n.d. [Doc#:2215379v1 pg 2]</t>
  </si>
  <si>
    <t>Above, Table 1.6</t>
  </si>
  <si>
    <t>Above, Table 1</t>
  </si>
  <si>
    <t>Energy</t>
  </si>
  <si>
    <t>Small animal correction factor:</t>
  </si>
  <si>
    <t>Source: AMPC, Environmental Performance Review: Red Meat Processing Sector, 2015 §3.3 pp.9</t>
  </si>
  <si>
    <t>i.e. processing a small animal requires this times as much water compared to cattle.</t>
  </si>
  <si>
    <t>http://www.ampc.com.au/2015/05/Environmental-Performance-Review-Red-Meat-Processing-Sector-2015</t>
  </si>
  <si>
    <t>5) Quantify expected site savings (water, thermal, electricity, other) and typical payback period range</t>
  </si>
  <si>
    <t>Other net saving as a multiplier of total commodity savings</t>
  </si>
  <si>
    <t>net other</t>
  </si>
  <si>
    <t>Replace pot-style sterilisers with spray sterilisers.</t>
  </si>
  <si>
    <t>Automatic spray washer for edible offal. Automatic spray washers for offal washing can reduce water use for offal washing by around 50%.</t>
  </si>
  <si>
    <t xml:space="preserve">Enhance heat transfer on fire tube boiler with turbulators.     </t>
  </si>
  <si>
    <t xml:space="preserve">Install fan speed control on chiller rooms and freezers. </t>
  </si>
  <si>
    <t xml:space="preserve">Install new VSD air compressor to replace old fixed speed compressors. </t>
  </si>
  <si>
    <t xml:space="preserve">Replace old lighting technology with LED lighting or induction lighting systems. Both of these technologies will reduce energy use and last 2 to 3 times longer than most older technologies such as metal halide and fluorescent tubes. </t>
  </si>
  <si>
    <t xml:space="preserve">Replace degraded refrigeration compressors. Most compressors will be degraded if they are over 20 years old and have not been upgraded during that time. Degradation in performance of up to 30% or more is possible. </t>
  </si>
  <si>
    <t>Install odour bio-filter to replace gas fired burners used to destroy odours from the rendering plant.</t>
  </si>
  <si>
    <t>Water-efficient shower roses for edible offal washing. In many plants, standard shower roses are used at offal washing stations. More water efficient shower roses or spray nozzles could reduce the amount of water used for offal washing, while still maintaining effective washing.</t>
  </si>
  <si>
    <t>On/off control of flow for edible offal washing.  Through the use of more efficient shower roses and/or an on/off flow control device, water for edible offal washing can be reduced by 20%.</t>
  </si>
  <si>
    <t xml:space="preserve">Consider the installation of solar PV electricity generation. </t>
  </si>
  <si>
    <t>Species Mix</t>
  </si>
  <si>
    <t>Manual Input of Production Uplift Factor</t>
  </si>
  <si>
    <t>Methodology</t>
  </si>
  <si>
    <t>1)</t>
  </si>
  <si>
    <t>2)</t>
  </si>
  <si>
    <t>3)</t>
  </si>
  <si>
    <t>4)</t>
  </si>
  <si>
    <t>5)</t>
  </si>
  <si>
    <t>6)</t>
  </si>
  <si>
    <t>7)</t>
  </si>
  <si>
    <t>8)</t>
  </si>
  <si>
    <t>9)</t>
  </si>
  <si>
    <t>Install a heat recovery system on the air compressor oil cooling circuit to produce hot water suitable for process cleaning (temperatures up to 70 degrees C). This opportunity may not be applicable if the plant already has enough hot water or there is insufficient hot water storage.</t>
  </si>
  <si>
    <t>Install a condensing economiser on one or more boilers.  This project may be feasible if the site needs to generate additional hot water for the steam or hot water boiler. There may be a need to install additional hot water storage to capture the hot water generated from the condensing economiser.</t>
  </si>
  <si>
    <t>Install additional hot water storage if clean hot water is being sent to drain after heat recovery from the rendering plant.</t>
  </si>
  <si>
    <t>Compressor Staging and Capacity Control. This opportunity is appliable to multiple refrigeration compressor installations and involves staging the operation of compressors based on refrigeration load in order to reduce electricity required.</t>
  </si>
  <si>
    <t xml:space="preserve">Install a refrigeration heat recovery system to supplement hot water supply. This opportunity applies when additional hot water is required and there is sufficient hot water storage to ensure that hot water is not sent to drain. </t>
  </si>
  <si>
    <t>If the site has an old blood dryer such as a ring dryer, consider replacing with modern quad pass rotary dryer.</t>
  </si>
  <si>
    <t>Upgrade boiler controls with oxygen trim control. To check boiler performance, test the oxygen levels in the flue gases at low, medium and high loads. If the oxygen readings are above 5% for high loads and/or over 10% for low loads consider oxygen trim control.</t>
  </si>
  <si>
    <t xml:space="preserve">The next step in an effective thermal efficiency improvement plan is to assess the scope for improving the energy efficiency of key thermal equipment such as boilers and hot water systems.  
</t>
  </si>
  <si>
    <t>In plants with high water costs or water supply restrictions, rainwater collection and water recycling may be an option to reduce external water supply use. The conservation and optimisation of water use may also be part of the sustainability plan for your plant.</t>
  </si>
  <si>
    <t xml:space="preserve">Install covered anaerobic lagoons (CALs) and capture biogas for boiler fuel. </t>
  </si>
  <si>
    <t>Rounded Comparative figures [min/max]</t>
  </si>
  <si>
    <t xml:space="preserve">Housekeeping involves the development and application of standard operating procedures, maintenance programs and work instructions to maintain and improve the efficiency of energy-intensive equipment. It is often possible to identify five to ten per cent or more of savings that can be achieved simply by taking basic maintenance steps and properly commissioning control systems. Effective operations develop and utilise operating procedures and work instructions for energy efficiency, which are then integrated with overall system operating procedures to ensure that energy efficiency is optimised. Most housekeeping activities will provide better than 1 year payback and can be either outsourced or integrated into site maintenance programs. </t>
  </si>
  <si>
    <t xml:space="preserve">Housekeeping involves the development and application of standard operating procedures, maintenance programs and work instructions to maintain and improve the efficiency of water using equipment. It is often possible to identify five to ten per cent or more of savings that can be achieved simply by taking basic maintenance steps and properly commissioning control systems. Effective operations develop and utilise operating procedures and work instructions for energy efficiency, which are then integrated with overall system operating procedures to ensure that energy efficiency is optimised. Most housekeeping activities will provide better than 1 year payback and can be either outsourced or integrated into site maintenance programs. </t>
  </si>
  <si>
    <t xml:space="preserve">The next step in an effective electricity efficiency improvement plan is to assess the scope for improving the energy efficiency of key electrical equipment such as refrigeration systems, air compressors and lighting systems.  
</t>
  </si>
  <si>
    <t>The next step in an effective water efficency improvement program is to assess the scope for improving water use in key water consumption areas such hot and cold water used for cleaning in stockyards, slaughter rooms, boning rooms and rendering plants.</t>
  </si>
  <si>
    <t>Once the housekeeping and energy efficiency elements are under control the next step in the program is to improve thermal energy use at a process level. This involves reviewing thermal energy use in plant areas such as rendering, plant condensers, hot water heat exchangers, sterilisers using hot water and other processes utilising hot water.</t>
  </si>
  <si>
    <t xml:space="preserve">Once the housekeeping and energy efficiency elements are under control the next step in the program is to improve electrical energy use at a process level. This involves reviewing electrical energy use in plant areas such as improving insulation in chillers and freezers, enclosing cold areas to reduce heat gain, and use of plate freezers instead of blast freezers. </t>
  </si>
  <si>
    <t>Once the housekeeping and water efficiency elements are under control the next step in the program is to improve water use at a process level. This involves reviewing water use in areas such as the water recycle and reuse systems, stockyards, sterilisation and washdown.</t>
  </si>
  <si>
    <t>Renewable thermal energy sources such as biomass fuels and biogas generated from wastwater treatment plants are common sources of energy for red meat processing plants.  Hot water generation by solar thermal systems is another alternative energy source for many red meat processing plants, particularly those located in high solar irradiance areas.</t>
  </si>
  <si>
    <t xml:space="preserve">Renewable electricity generation from solar photovoltaic (PV) is becoming cost effective for plants with high electricity prices. The size of a solar PV system is generally limited by the electrical demand during peak periods (in order to reduce exporting electricity to back to the grid) or the roof size available - whichever is smaller. Larger scale systems with electricity export and battery storage are also under consideration. </t>
  </si>
  <si>
    <t>Default</t>
  </si>
  <si>
    <t>Your Plant</t>
  </si>
  <si>
    <t>Figure Used</t>
  </si>
  <si>
    <t>Default rate</t>
  </si>
  <si>
    <t xml:space="preserve">Cogeneration is the generation of both electricity and thermal energy on site. Red meat processing plants generally have high thermal loads. As such, many cogeneration systems are sized to meet the site's electrical load, with heat generated from the system used to offset part of the thermal demand originally supplied by existing boilers. </t>
  </si>
  <si>
    <t xml:space="preserve">Australian red meat processing plants generate significant volumes of high strength wastewater as part of normal operations. In the treatment of wastewater, Covered Anaerobic Lagoons (CAL’s) have become popular in the red meat industry in a number of Australian plants where land is available. The three most common uses of recovered biogas typically include (1) consumption as energy-rich boiler fuel; (2) co-generation using a reciprocating gas engine or microturbine to generate electricity and hot water; and (3) flaring in a purpose-built flare. 
 </t>
  </si>
  <si>
    <t xml:space="preserve">Install boiler blowdown heat recovery  Assess how much blowdown is being sent to drain based on total dissolved solids (TDS) levels and the TDS level in the feedwater. </t>
  </si>
  <si>
    <t xml:space="preserve">Refrigeration variable head pressure and condenser fan speed control. Variable Head Pressure Control (VHPC) provides a good business case in regions with low night and winter temperatures. This option may not be suitable for warmer regions. </t>
  </si>
  <si>
    <t>Timers on water taps. For some cleaning jobs, water may be wasted because hoses or taps are left on unnecessarily. Careful observation of cleaning practices will identify where this is occurring, and then timers can be installed to stop the flow of water after a set period of time.</t>
  </si>
  <si>
    <t>Limiting water use in casings washing. There is a tendency in some casings departments to leave water running unnecessarily. To avoid this, water supply can be controlled by interlocking the operation of the machine to a timer switch. Given that casings washing is occurring for 60% of the time that the machine is in operation, this could reduce water use by 40%.</t>
  </si>
  <si>
    <t xml:space="preserve">Conduct after hours review of plant energy and water use using metering data. Investigate times when energy use is higher than expected to identify the equipment involved. Institute a manual or automatic control system/procedure to reduce unnecessary energy use.  </t>
  </si>
  <si>
    <t>Install a biomass boiler to generate steam and a steam turbine for electricity generation. The steam turbine offsets some or all of the electricity use on site and the remaining low pressure steam is used for hot water generation and, if applicable, in the rendering plant.</t>
  </si>
  <si>
    <t xml:space="preserve">Install wind turbine(s) if you have sufficient land along side your plant operation. The first step is to assess the wind speeds and duration of wind in your area. </t>
  </si>
  <si>
    <t xml:space="preserve">Install combined heat and power (CHP) plant (cogeneration or trigeneration) using an existing fuel source. </t>
  </si>
  <si>
    <t xml:space="preserve">Install biomass (including dried paunch) boiler for steam generation. This project is generally attractive if a low cost waste wood or other biomass source is available. Prices as low as a $3/GJ have been seen in the market (2017). The business case is based on the cost of biomass to be 10% to 20% of the LPG price and 20% to 30% of natural gas price. </t>
  </si>
  <si>
    <t>Water case study summary</t>
  </si>
  <si>
    <t>http://www.environment.nsw.gov.au/resources/business/120158-cs-BEC-young.pdf</t>
  </si>
  <si>
    <t>Meat Processing refrig case study</t>
  </si>
  <si>
    <t>Install evacuated tube solar hot water systems</t>
  </si>
  <si>
    <t>Invest in more advanced options for water recycle and reuse within the plant</t>
  </si>
  <si>
    <t>Eco-efficiency manual for meat processing</t>
  </si>
  <si>
    <t>Reports - Review of abattoir water usage reduction, recycling and reuse (29%)</t>
  </si>
  <si>
    <t>Reports - Optimised Water Reduction Through Steam Sanitation Technology (29%)</t>
  </si>
  <si>
    <t>Reports - Investigation of reuse of boning room effluent streams (25%)</t>
  </si>
  <si>
    <t>Reports - Facilitation of the Water, Energy Efficiency and Food Safety Program (25%)</t>
  </si>
  <si>
    <t>Reports - Water saving in the cleaning of carcase chillers (22%)</t>
  </si>
  <si>
    <t>Reports - Facilitation of Water Reuse Projects 2012-13 (22%)</t>
  </si>
  <si>
    <t>Reports - Facilitation of Water Reuse Projects (18%)</t>
  </si>
  <si>
    <t>Reports - AMPC Water Efficiency Projects (18%)</t>
  </si>
  <si>
    <t>Reports - Optimising integrated water reuse and waste heat recovery in rendering plants and abattoirs (18%)</t>
  </si>
  <si>
    <t>Reports - Heat Recovery From Refrigeration Plant (18%)</t>
  </si>
  <si>
    <t>Reports - Economic Analysis of Demineralisation (14%)</t>
  </si>
  <si>
    <t>Reports - Assessing the Effectiveness of a Carcase Hot Water Decontamination Cabinet in Small Stock Processing (14%)</t>
  </si>
  <si>
    <t>Reports - Water Saving in the Routine Cleaning of Carcase Chillers (14%)</t>
  </si>
  <si>
    <t>Reports - Water collection and data analysis (14%)</t>
  </si>
  <si>
    <t>Reports - Beef Spinal Cord Removal Stage 2 Process Risk and Benefits (11%)</t>
  </si>
  <si>
    <t>Reports - Improved Abattoir Hygienic Design (11%)</t>
  </si>
  <si>
    <t>Reports - Wingham Chiller Cleaning (11%)</t>
  </si>
  <si>
    <t>Reports - Tripe Wash Water Reuse in Beef Processing (11%)</t>
  </si>
  <si>
    <t>Reports - Water Reuse in the Meat Industry - Opportunities and Issues (11%)</t>
  </si>
  <si>
    <t>Australian Meat Processing - Networked, Ethical, Sustainable &amp; Intelligent - Australian Meat Processing - Networked, Ethical, Sustainable &amp; Intelligent (7%)</t>
  </si>
  <si>
    <t>Reports - Economic and Technical Potential for Cogeneration in Industry (7%)</t>
  </si>
  <si>
    <t>Reports - Innovation and Energy Management and Reduction (7%)</t>
  </si>
  <si>
    <t>Reports - NGERS and Wastewater Management – Mapping Waste Streams and Quantifying the Impacts (7%)</t>
  </si>
  <si>
    <t>Reports - First Waterless Cleaning Workshop - Summary (7%)</t>
  </si>
  <si>
    <t>Meat Matters! We All Have a Steak in this! - Meat Matters! We All Have a Steak in this! (7%)</t>
  </si>
  <si>
    <t>Where Might a Career in Red Meat Processing Take You? - Where Might a Career in Red Meat Processing Take You? (7%)</t>
  </si>
  <si>
    <t>Reports - Environmental Performance Review: Red Meat Processing Sector 2015 (7%)</t>
  </si>
  <si>
    <t>Reports - Sanitation of Viscera Tables using Steam (7%)</t>
  </si>
  <si>
    <t>Reports - Waste Water Management Manual (7%)</t>
  </si>
  <si>
    <t>Reports - Waterless Cleaning of Meat Processing Plants (7%)</t>
  </si>
  <si>
    <t>Reports - Meat Technology: Information Sheet - Environmental Control in the Rendering Industry (3%)</t>
  </si>
  <si>
    <t>Reports - Review of Wastewater Treatment Chemicals and Organic Chemistry Alternatives for Abattoir Effluent (3%)</t>
  </si>
  <si>
    <t>Reports - Year 7/8: Meat Matters - Student Project File (3%)</t>
  </si>
  <si>
    <t>Reports - Environmental Performance Review: Red Meat Processing Sector 2015 (3%)</t>
  </si>
  <si>
    <t>Reports - Year 7/8: Meat Matters! We All Have a Steak in this! (3%)</t>
  </si>
  <si>
    <t>Reports - Novel microbial technologies for improved treatment of industrial wastewater - Pilot plant study (3%)</t>
  </si>
  <si>
    <t>News - The Indonesian Australian Partnership on Food Security Launches News Letter (3%)</t>
  </si>
  <si>
    <t>A Feast of Ideas - A Feast of Ideas (3%)</t>
  </si>
  <si>
    <t>News - Haverick Meats, back on track in time for Christmas (3%)</t>
  </si>
  <si>
    <t>News - The WHS Website for Meat Processing Supervisors (3%)</t>
  </si>
  <si>
    <t>Reports - Australian Red Meat Processor Opportunities for Emissions Reduction Fund Participation (3%)</t>
  </si>
  <si>
    <t>Reports - Cost Benefit Analysis of Dewatering Abattoir Sludge using Three-Way Decanter (3%)</t>
  </si>
  <si>
    <t>Reports - Environmental Best Practice Manual: Wastewater (3%)</t>
  </si>
  <si>
    <t>Reports - Feasibility study on using integrated aquaculture to treat wastewater from the meat processing industry (3%)</t>
  </si>
  <si>
    <t>Reports - Efficient lighting options and review of lighting standards for abattoirs (3%)</t>
  </si>
  <si>
    <t>Reports - Wastewater Management (3%)</t>
  </si>
  <si>
    <t>News - A Year in Review (3%)</t>
  </si>
  <si>
    <t>Reports - Wastewater Treatment with Anaerobic Digestion &amp; Anammox (3%)</t>
  </si>
  <si>
    <t>Consider the installation of an economiser or air preheater for boilers.</t>
  </si>
  <si>
    <t>What is the company and site name?</t>
  </si>
  <si>
    <t>Replace batch rendering with continuous rendering equipment.</t>
  </si>
  <si>
    <t>Rendering_Options</t>
  </si>
  <si>
    <t>Continuous</t>
  </si>
  <si>
    <t>Batch</t>
  </si>
  <si>
    <t>None</t>
  </si>
  <si>
    <t>Any rendering</t>
  </si>
  <si>
    <t>Batch rendering</t>
  </si>
  <si>
    <t>Conversion to yes/no</t>
  </si>
  <si>
    <t>What is the average HSCW per species for your plant?</t>
  </si>
  <si>
    <t>Species</t>
  </si>
  <si>
    <t>Apply linear interpolation to identify production adjustment factor by first looking up category:</t>
  </si>
  <si>
    <t>Calculate the weighted proportion of species that are large or small body:</t>
  </si>
  <si>
    <t>Large</t>
  </si>
  <si>
    <t>Small</t>
  </si>
  <si>
    <t>Index</t>
  </si>
  <si>
    <t>Apply linear interpolation to identify production adjustment factor, using the 'Index':</t>
  </si>
  <si>
    <t>Large or Small body?</t>
  </si>
  <si>
    <t>Unit</t>
  </si>
  <si>
    <t>1) From user input, import production metrics</t>
  </si>
  <si>
    <t>3) Calculate adjustment factor to allow for performance degradation when not at full capacity, and calculate adjustment factor</t>
  </si>
  <si>
    <t>2) Calculate predominant species based on production rates calculated earlier, and calculate adjustment factor</t>
  </si>
  <si>
    <t>4) Apply benchmark adjustments for species mix and production to calculate adjusted best-practice benchmarks</t>
  </si>
  <si>
    <t>tHSCW / yr</t>
  </si>
  <si>
    <t>Head / yr</t>
  </si>
  <si>
    <t xml:space="preserve">What is the maximum production capacity of </t>
  </si>
  <si>
    <t>your plant and current production for a year?</t>
  </si>
  <si>
    <t>If you don't supply figures the model will use default figures shown here.</t>
  </si>
  <si>
    <t>"To compare against user's plant, modify benchmark plant based on user's plant facilities and facility througputs."</t>
  </si>
  <si>
    <t>2) Import the user's plant facilities and facility throughputs</t>
  </si>
  <si>
    <t>Ratio to uplift rendering</t>
  </si>
  <si>
    <t>Ratio to derate boning</t>
  </si>
  <si>
    <t>Ratio to derate freezing</t>
  </si>
  <si>
    <t>(assuming all kills are rendered)</t>
  </si>
  <si>
    <t>[% of full-facility consumption]</t>
  </si>
  <si>
    <t>Before Adjustment</t>
  </si>
  <si>
    <t>After Adjustment</t>
  </si>
  <si>
    <t>(if 0 then production is all large body, if 1 then all small body)</t>
  </si>
  <si>
    <t>Biogas - flared</t>
  </si>
  <si>
    <t>Biogas - used in process</t>
  </si>
  <si>
    <t>Grid Electricity</t>
  </si>
  <si>
    <t>Solar PV Electricity</t>
  </si>
  <si>
    <t>Recycled Water</t>
  </si>
  <si>
    <t>If these figures do not look correct, amend your production and consumption figures.</t>
  </si>
  <si>
    <t>Total Energy</t>
  </si>
  <si>
    <t>Insufficient water recycling</t>
  </si>
  <si>
    <t>Town Water</t>
  </si>
  <si>
    <t>Bore Water</t>
  </si>
  <si>
    <t>How much rendering product is external vs internal?</t>
  </si>
  <si>
    <t>4) Calculate the energy and water consumption per facility, then adjust for facility throughputs</t>
  </si>
  <si>
    <t>5) Modify the benchmark plant based on the user's plant facilities and throughputs</t>
  </si>
  <si>
    <t>Development of Facility Throughput Ratios</t>
  </si>
  <si>
    <t>1) From literature review, import typical mass flow diagram to derive key figures</t>
  </si>
  <si>
    <t xml:space="preserve">2) Import user's facility-based production rates </t>
  </si>
  <si>
    <t xml:space="preserve">3) Calculate energy and water intensity adjustment figures </t>
  </si>
  <si>
    <t>Live Weight</t>
  </si>
  <si>
    <t>Hot Standard Carcass</t>
  </si>
  <si>
    <t>Boning Yield</t>
  </si>
  <si>
    <t>Render Material</t>
  </si>
  <si>
    <t>Typical weight (kg)</t>
  </si>
  <si>
    <t>Ratio of tHSCW to Internal Rendering</t>
  </si>
  <si>
    <t>Typical ratio</t>
  </si>
  <si>
    <t>User's site ratio</t>
  </si>
  <si>
    <t>Ratio of tHSCW to boning</t>
  </si>
  <si>
    <t>Expected production</t>
  </si>
  <si>
    <t>Ratio of actual user production vs expected</t>
  </si>
  <si>
    <t>Expected internal rendering production based on kill rate and 100% of material sent to rendering</t>
  </si>
  <si>
    <t>Expected internal boning production based on kill rate and 100% boning</t>
  </si>
  <si>
    <t>This figure will be used as a multiplier to change the energy and water use of this facility to adjust the benchmark.</t>
  </si>
  <si>
    <t>The benchmarked site is based on 100% of all kills being boned, rendered and frozen, with no external inputs to any facility.</t>
  </si>
  <si>
    <t>The user's site may differ, and therefore the energy and water use apportioned to each facility should be changed accordingly.</t>
  </si>
  <si>
    <t>Examples: the user may receive external sources of rendering material, or they only bone part of the kills, or they don't freeze everything.</t>
  </si>
  <si>
    <t>Freezer</t>
  </si>
  <si>
    <t>Chiller</t>
  </si>
  <si>
    <t>Does user's site have boning or freezing?</t>
  </si>
  <si>
    <t>Ratio of actual user input vs expected input:</t>
  </si>
  <si>
    <t>Ratio of actual user's input to freezer vs chilled</t>
  </si>
  <si>
    <t>Adjustment to apply to freezer facility, based on comparison to total expected production and to 100% freezer input:</t>
  </si>
  <si>
    <t>Expected input into freezer and chiller, and assuming all product is frozen (if the facility has freezing).</t>
  </si>
  <si>
    <t>Adjustment to apply to chiller facility, based on comparison to total expected production:</t>
  </si>
  <si>
    <t>This figure will be used as a multiplier to change the energy and water use of the chiller facility to adjust the benchmark.</t>
  </si>
  <si>
    <t>This figure will be used as a multiplier to change the energy and water use of the freezer facility to adjust the benchmark.</t>
  </si>
  <si>
    <t>3) Import adjustment factors for facilities, based on Live Weight recovery rates</t>
  </si>
  <si>
    <t>Ratio to derate chilling</t>
  </si>
  <si>
    <t>-</t>
  </si>
  <si>
    <t>Model Outputs</t>
  </si>
  <si>
    <t>Formatting Key:</t>
  </si>
  <si>
    <t>Energy and water benchmark model for a red meat processing plant</t>
  </si>
  <si>
    <t>What is your annual consumption and spend of the following commodities?</t>
  </si>
  <si>
    <t>Unit cost</t>
  </si>
  <si>
    <t>The outputs page to the tool has benchmark results, an introduction to the energy management methodology, followed by the benchmark results. Each benchmark result category has suggested improvement areas, along with several quantified examples with cost, savings, payback periods and hyperlinks.</t>
  </si>
  <si>
    <t>Total Cost per year</t>
  </si>
  <si>
    <t>Volume per year, per unit of measure</t>
  </si>
  <si>
    <t>Volume per year, SI units</t>
  </si>
  <si>
    <t>Default cost per SI unit of measure</t>
  </si>
  <si>
    <t>Actual cost per SI unit of measure</t>
  </si>
  <si>
    <t>back-calculated adjusted CAPEX</t>
  </si>
  <si>
    <t>Sum of back-calculated adjusted CAPEX</t>
  </si>
  <si>
    <t>The benchmark plant receives no external product to render, sends all carcasses to be boned and freezes all products. Your plant may differ, so this section quantifies these differences.</t>
  </si>
  <si>
    <t>Commodity rates to be used in the tool</t>
  </si>
  <si>
    <t>Energy and Water Management Plan</t>
  </si>
  <si>
    <t>Unit cost rate</t>
  </si>
  <si>
    <t>Cost per tonne</t>
  </si>
  <si>
    <t>Usage per tonne</t>
  </si>
  <si>
    <t>AMPC engaged Energetics to construct a model of the energy and water use within a red meat processing plant. This model is designed for plant owners to benchmark their performance and assess the possible opportunities for improvement in water and energy performance.</t>
  </si>
  <si>
    <t>The methodology used to model a plant is:</t>
  </si>
  <si>
    <t>First the user provides input data on plant facilities, production, current energy and water usage and cost.</t>
  </si>
  <si>
    <t>The production figures and energy and water consumption are used to calculate the performance of the user's plant across three metrics: thermal energy, electrical energy and water.</t>
  </si>
  <si>
    <t>The model then retrieves a full-facility benchmark plant to compare to the user's plant for each of these metrics. Specifically, this plant has continuous rendering with no external product inputs. The energy and water use of this benchmark plant has been apportioned across its facilities as listed in the input sheet. This apportioning allows the model to adjust the full-facility benchmark plant to match the user's plant facilities and throughputs.</t>
  </si>
  <si>
    <t>Before comparing the user's site to the benchmark plant, the user's performance figures are modified to account for the plant's species mix, production capacity and facility-level production adjustments: smaller species use different energy and water per tonne of production; a plant not at full production uses more energy and water per tonne of production; and, a plant with external rendering, or only diverting some production for boning or freezing will have a different energy and water profile for these facilities compared to the benchmark plant.</t>
  </si>
  <si>
    <t>The user's modified performance figures are compared to the benchmark plant and ranked as poor, fair or good for each of the three metrics. Later, the results of these will be presented in a quantified dial-gauge figure.</t>
  </si>
  <si>
    <t>The model imports an energy management framework. This framework is based on the rationale that for each metric a plant should implement straightforward performance improvement opportunities first, such as housekeeping, before considering more advanced opportunites, such as cogeneration. This staged approach is visualised as a layered pyramid, with each successive layer representing a more complex category of performance improvement opportunities.</t>
  </si>
  <si>
    <t>Each metric of the user's plant is assigned to a layer of the pyramid based on the previous performance categorisation of poor, fair or good for that metric. For each metric, the final output report will present a description of this layer of performance improvements.</t>
  </si>
  <si>
    <t>The model imports a library of performance improvement opportunities. This library contains a full range of performance improvement opportunities across all categories, but is then filtered to exclude opportunities outside of the plant's performance category for each metric. The model quantifies each opportunity based on the user's input data of energy and water usage and cost. This data is used to estimate the cost, savings and payback period. Opportunities exceeding the user's acceptable payback period are screened out.</t>
  </si>
  <si>
    <t>The final output sheet presents the results of the benchmarking; the categorisation of the plant as poor, fair or good for each metric; and, the category of performance improvement opportunities the plant could consider. This category is supported by a paragraph of explanatory text, in addition to several quantified examples, with hyperlinks to AMPC documentation where available.</t>
  </si>
  <si>
    <t>The inputs page to the tool consists of several sections: Facility Data, Production Data, Product Flow Variations, Consumption Data and Investment Decision Data</t>
  </si>
  <si>
    <t>A note on benchmark figures. Benchmarking is based on tHSCW processed, not the total tonnes processed by the plant. As such, plants with a high volume of external material (say, rendering) will have a high benchmark to compare against in order to account for this.</t>
  </si>
  <si>
    <t>Benchmarking Results</t>
  </si>
  <si>
    <t>The Annual Spend column is optional but important if you would like the model to more accurately calculate your costs and savings.</t>
  </si>
  <si>
    <t>Annual Spend 
($ p.a.)</t>
  </si>
  <si>
    <t>key calculated output</t>
  </si>
  <si>
    <t xml:space="preserve">https://www.ecoefficiencygroup.com.au/wp-content/uploads/2017/11/ecomeat_manual.pdf </t>
  </si>
  <si>
    <t>Install energy and water flow meters for major loads and monitor use via a central process control system or web based system. Extend system to provide online alarms and SMS alerts available remotely.</t>
  </si>
  <si>
    <t>back-calculated default saving ($ / yr)</t>
  </si>
  <si>
    <t>back-calculated actual saving ($ / yr)</t>
  </si>
  <si>
    <t>Sum of back-calculated actual saving ($ / yr)-Total</t>
  </si>
  <si>
    <t>Sum of back-calculated actual saving ($ / yr)-thermal</t>
  </si>
  <si>
    <t>Sum of back-calculated actual saving ($ / yr)-elec</t>
  </si>
  <si>
    <t>Sum of back-calculated actual saving ($ / yr)-water</t>
  </si>
  <si>
    <t>Both</t>
  </si>
  <si>
    <t>Biomass_Options</t>
  </si>
  <si>
    <t>(not a list) - default heating value (GJ / t)</t>
  </si>
  <si>
    <t>(not a list) - default cost per tonne ($ / t)</t>
  </si>
  <si>
    <t>Type of waste</t>
  </si>
  <si>
    <t>Fuel Source</t>
  </si>
  <si>
    <t>LHV (MJ/kg wet basis)</t>
  </si>
  <si>
    <t>Avg LHV (MJ/kg)</t>
  </si>
  <si>
    <t>Moisture content (wt%, wet basis)</t>
  </si>
  <si>
    <t>Ash content (wt% - dry basis)</t>
  </si>
  <si>
    <t>Particle size</t>
  </si>
  <si>
    <t>Bulk density (kg/m3)</t>
  </si>
  <si>
    <t>Energy density (MJ/m3)</t>
  </si>
  <si>
    <t>Wood waste</t>
  </si>
  <si>
    <t>Wood chips (hardwood, pre-dried)</t>
  </si>
  <si>
    <t>7.4 - 12</t>
  </si>
  <si>
    <t>0.8 - 1.4%</t>
  </si>
  <si>
    <t>200 - 320</t>
  </si>
  <si>
    <t>Source: carbon trust, The Handbook of Biomass Combustion and Co-firing</t>
  </si>
  <si>
    <t>Wood chips</t>
  </si>
  <si>
    <t>7.4 - 8</t>
  </si>
  <si>
    <t>2,500 - 3,600</t>
  </si>
  <si>
    <t>Conventional wood pellets</t>
  </si>
  <si>
    <t>16 - 18</t>
  </si>
  <si>
    <t>600 - 700</t>
  </si>
  <si>
    <t>9,800 - 11,900</t>
  </si>
  <si>
    <t>Sawdust</t>
  </si>
  <si>
    <t>3 - 13</t>
  </si>
  <si>
    <t>0.5 - 1.1%</t>
  </si>
  <si>
    <t>180 - 240</t>
  </si>
  <si>
    <t>2000 - 3000</t>
  </si>
  <si>
    <t>The Handbook of Biomass Combustion and Co-firing</t>
  </si>
  <si>
    <t>Sawmill shavings</t>
  </si>
  <si>
    <t>Forestry residues (virgin wood): bark, branches, brash, stumps, logs</t>
  </si>
  <si>
    <t>6 - 8</t>
  </si>
  <si>
    <t>20 - 50%</t>
  </si>
  <si>
    <t>5.0 - 8.0%</t>
  </si>
  <si>
    <t>2,000 - 3,000</t>
  </si>
  <si>
    <t>Forestry residues - as received</t>
  </si>
  <si>
    <t>Source: Talent with Energy report, Arup 2011</t>
  </si>
  <si>
    <t>Log wood - stacked, air dried (20% MC)</t>
  </si>
  <si>
    <t>350 - 500</t>
  </si>
  <si>
    <t>5,110 - 7,300</t>
  </si>
  <si>
    <t>Source: carbon trust</t>
  </si>
  <si>
    <t>Hog fuel</t>
  </si>
  <si>
    <t>Firelogs and briquettes</t>
  </si>
  <si>
    <t>Torrified wood pellets</t>
  </si>
  <si>
    <t>21 - 22</t>
  </si>
  <si>
    <t>4 - 6%</t>
  </si>
  <si>
    <t>14,500 - 15,000</t>
  </si>
  <si>
    <t>Source: Climate Change Solutions (Bioenergy Australia Conference Nov2013)</t>
  </si>
  <si>
    <t>Agricultural residues</t>
  </si>
  <si>
    <t>Straw (winter wheat)</t>
  </si>
  <si>
    <t>4.0 - 12.0%</t>
  </si>
  <si>
    <t>Source: Co-firing biomass and coal</t>
  </si>
  <si>
    <t>Wood chips (hardwood, pre-dried), 20%MC</t>
  </si>
  <si>
    <t>Wood chips, 50%MC</t>
  </si>
  <si>
    <t>Conventional wood pellets, 10%MC</t>
  </si>
  <si>
    <t>Sawdust, 50%MC</t>
  </si>
  <si>
    <t>Forestry residues (virgin wood): bark, branches, brash, stumps, logs, 20-50%MC</t>
  </si>
  <si>
    <t>Log wood - stacked, air dried,20% MC</t>
  </si>
  <si>
    <t>Torrified wood pellets, 4-6%MC</t>
  </si>
  <si>
    <t>Straw (winter wheat), 15%MC</t>
  </si>
  <si>
    <t>There is an optional biomass input with a drop-down box to select biomass type.</t>
  </si>
  <si>
    <t>A</t>
  </si>
  <si>
    <t>B</t>
  </si>
  <si>
    <t>C</t>
  </si>
  <si>
    <t>D</t>
  </si>
  <si>
    <t>E</t>
  </si>
  <si>
    <t>F</t>
  </si>
  <si>
    <t>G</t>
  </si>
  <si>
    <t>H</t>
  </si>
  <si>
    <t>I</t>
  </si>
  <si>
    <t>J</t>
  </si>
  <si>
    <t xml:space="preserve">https://www.sustainability.vic.gov.au/Business/Efficient-business-operations/Energy-efficiency-for-business/Energy-efficiency-best-practice-guidelines </t>
  </si>
  <si>
    <t xml:space="preserve">Review electricity demand cost and tariff charges for peak and off-peak electricity. Consider moving loads from peak periods into off-peak periods where electricity charges are cheaper. Review demand peaks and assess the options for reducing demand costs. </t>
  </si>
  <si>
    <t>Pigs</t>
  </si>
  <si>
    <t>Rams</t>
  </si>
  <si>
    <t>Cogeneration</t>
  </si>
  <si>
    <t>Electricity output</t>
  </si>
  <si>
    <t>Default cost</t>
  </si>
  <si>
    <t>Actual cost</t>
  </si>
  <si>
    <t>Additonal fuel</t>
  </si>
  <si>
    <t>Default heat value</t>
  </si>
  <si>
    <t>N/A</t>
  </si>
  <si>
    <t>Custom heat value</t>
  </si>
  <si>
    <t>Biomass heat value</t>
  </si>
  <si>
    <t>Response</t>
  </si>
  <si>
    <t>Percentage</t>
  </si>
  <si>
    <t>How much hide is processed annually?</t>
  </si>
  <si>
    <t>Hide processed (tonnes / yr)</t>
  </si>
  <si>
    <t>&lt;&lt; refer to diagram above</t>
  </si>
  <si>
    <t>Hide processing</t>
  </si>
  <si>
    <t>Ratio to hide processing</t>
  </si>
  <si>
    <t>Fleshing</t>
  </si>
  <si>
    <t>Salting/Curing/Brining</t>
  </si>
  <si>
    <t>Pickling</t>
  </si>
  <si>
    <t>Hide procssing stages</t>
  </si>
  <si>
    <t>Inclusion</t>
  </si>
  <si>
    <t>Energy/Water intensity</t>
  </si>
  <si>
    <t>&lt;&lt; assumption. TBC</t>
  </si>
  <si>
    <t>Ratio</t>
  </si>
  <si>
    <t>Tanning</t>
  </si>
  <si>
    <t>&lt;&lt; finishing stage of leather producing. Not typically done at the meat processing plant. See https://www.usitc.gov/publications/docs/pubs/industry_trade_summaries/pub3015.pdf</t>
  </si>
  <si>
    <t>How much paunch is processed annually?</t>
  </si>
  <si>
    <t>Paunch processed (tonnes / yr)</t>
  </si>
  <si>
    <t>Internal input (t/yr)</t>
  </si>
  <si>
    <t>External input (t/yr)</t>
  </si>
  <si>
    <t>Boning room (tonnes/yr)</t>
  </si>
  <si>
    <t>Paunch processed (t/yr)</t>
  </si>
  <si>
    <t>Hide processed (t/yr)</t>
  </si>
  <si>
    <t>Carcass only (t/yr)</t>
  </si>
  <si>
    <t>Chilled (t/yr)</t>
  </si>
  <si>
    <t>Frozen (t/yr)</t>
  </si>
  <si>
    <t>Typical amount of wet paunch</t>
  </si>
  <si>
    <t>t/week</t>
  </si>
  <si>
    <t>Figure from Dinmore. See https://www.mla.com.au/contentassets/786e5a343b0148529c09398ec4212d1a/p.pip.0104_final_report.pdf</t>
  </si>
  <si>
    <t>t/yr</t>
  </si>
  <si>
    <t>Based on Dinmore 50 5-day-working weeks per year</t>
  </si>
  <si>
    <t>Dinmore tHSCW/yr</t>
  </si>
  <si>
    <t>tHSCW/yr</t>
  </si>
  <si>
    <t>Based on Dinmore Environmental Performance Review (d/n 2762476)</t>
  </si>
  <si>
    <t>Dewatering</t>
  </si>
  <si>
    <t>Open and empty content</t>
  </si>
  <si>
    <t>Paunch cleaning</t>
  </si>
  <si>
    <t>Paunch trimming</t>
  </si>
  <si>
    <t>Paunch procssing stages</t>
  </si>
  <si>
    <t>Stages source from https://training.gov.au/TrainingComponentFiles/AMP/AMPA2152_R1.pdf</t>
  </si>
  <si>
    <t>Ratio to paunch processing</t>
  </si>
  <si>
    <t>The benchmark results are in tHSCW processed not total tonnes processed.
As such, benchmarks have also been adjusted upwards for external rendering input, where relevant.</t>
  </si>
  <si>
    <t>1. Facility data</t>
  </si>
  <si>
    <t>2. Production data</t>
  </si>
  <si>
    <t>3. Product flow variations</t>
  </si>
  <si>
    <t>3.1. Rendering</t>
  </si>
  <si>
    <t>3.4. Hide Processing</t>
  </si>
  <si>
    <t>3.2. Boning</t>
  </si>
  <si>
    <t>3.5. Paunch Processing</t>
  </si>
  <si>
    <t>3.3. Freezing</t>
  </si>
  <si>
    <t>4. Consumption data</t>
  </si>
  <si>
    <t>5. Investment decision data</t>
  </si>
  <si>
    <t>6. Benchmark results</t>
  </si>
  <si>
    <t>(Hide processed is typically ~16% of tHSCW. Use this figure if not sure)</t>
  </si>
  <si>
    <t>(Paunch processed is typically ~10% of tHSCW. Use this figure if not sure)</t>
  </si>
  <si>
    <t>How much product enters the boning room?</t>
  </si>
  <si>
    <t xml:space="preserve">New reference </t>
  </si>
  <si>
    <t xml:space="preserve">https://www.ampc.com.au/uploads/cgblog/id149/AN-ENERGY-MANAGEMENT-PLAN.pdf </t>
  </si>
  <si>
    <t xml:space="preserve">https://www.ampc.com.au/2011/09/Using-Covered-Anaerobic-Ponds-to-Treat-Abattoir-Wastewater-Reduce-Greenhouse-Gases-and-Generate-Bio-Energy </t>
  </si>
  <si>
    <t xml:space="preserve">https://www.ampc.com.au/2010/08/Use-of-Paunch-Waste-as-a-Boiler-Fuel </t>
  </si>
  <si>
    <t xml:space="preserve">https://www.ampc.com.au/uploads/cgblog/id151/ENV_2010_Economic_&amp;_technical_potential_ENV.0102-final-report1.pdf </t>
  </si>
  <si>
    <t xml:space="preserve">https://www.ampc.com.au/2011/11/AMPC-Water-Efficiency-Projects </t>
  </si>
  <si>
    <t xml:space="preserve">https://www.ampc.com.au/uploads/cgblog/id165/CAP_2008_Review-of-Abattoir-water-usage-reduction-recycling-and-reuse__Final-report.pdf </t>
  </si>
  <si>
    <t xml:space="preserve">https://www.ampc.com.au/2014/03/Extension-guide-Renewable-Energy-and-Energy-Storage-Technologies-Applicable-to-Red-Meat-Processing-Manufacturing-businesses </t>
  </si>
  <si>
    <t xml:space="preserve">https://www.ampc.com.au/uploads/pdf/Environment-Sustainability/2016-1002-Final-Report-Investigation-Into-Modular-Micro-Turbine-Cogenerators.pdf </t>
  </si>
  <si>
    <t xml:space="preserve">https://www.ampc.com.au/2010/07/Heat-Recovery-From-Refrigeration-Plant </t>
  </si>
  <si>
    <t xml:space="preserve">https://www.sustainability.vic.gov.au/Business/Energy-efficiency-for-business/Business-energy-efficiency/Energy-efficiency-best-practice-guidelines </t>
  </si>
  <si>
    <t xml:space="preserve">https://www.environment.nsw.gov.au/resources/business/IndustrialRefrigerationTechnologyReport.pdf </t>
  </si>
  <si>
    <t xml:space="preserve">https://www.environment.nsw.gov.au/resources/business/compressed-air-guide-170257.pdf </t>
  </si>
  <si>
    <t xml:space="preserve">https://www.sustainability.vic.gov.au/-/media/SV/Publications/Business/Efficient-business-operations/Energy-efficiency-for-business/Energy-efficiency-best-practice-guidelines/SRSB-BPG-Heating-Manual-Mar-2015.pdf?la=en </t>
  </si>
  <si>
    <t xml:space="preserve">https://www.ampc.com.au/2013/01/Reuse-of-water-in-Tripe-processing </t>
  </si>
  <si>
    <t>·         Ammonia heat pump</t>
  </si>
  <si>
    <t xml:space="preserve">·         Biomass boiler </t>
  </si>
  <si>
    <t>·         Refrigeration improvements</t>
  </si>
  <si>
    <t>·         Stormwater collection</t>
  </si>
  <si>
    <t>·         Floating solar PV</t>
  </si>
  <si>
    <t>·         Composting</t>
  </si>
  <si>
    <t xml:space="preserve">Install ammonia heat pump heat recovery system using existing waste heat available from the site refrigeration system. </t>
  </si>
  <si>
    <t xml:space="preserve">https://www.ampc.com.au/uploads/cgblog/id28/Heat-Recovery-From-Refrigeration-Plant.pdf </t>
  </si>
  <si>
    <t xml:space="preserve">Consider installation of solar PV array on a floating platform using the wastewater ponds. </t>
  </si>
  <si>
    <t xml:space="preserve">https://rohanhamden.com.au/assets/1613-Floating-Solar-brochure-WEB.pdf </t>
  </si>
  <si>
    <t xml:space="preserve">Install variable speed drives on evaporator fans to reduce heat loads in cool rooms and freezers. </t>
  </si>
  <si>
    <t>Install storm water recovery and collection systems to reduce water used for washing cattle and potentially some process water uses.</t>
  </si>
  <si>
    <t>Composting??? - what are the water and energy benefits?</t>
  </si>
  <si>
    <t xml:space="preserve">Updates to opportunities </t>
  </si>
  <si>
    <t>State</t>
  </si>
  <si>
    <t>NSW</t>
  </si>
  <si>
    <t>VIC</t>
  </si>
  <si>
    <t>SA</t>
  </si>
  <si>
    <t>WA</t>
  </si>
  <si>
    <t>QLD</t>
  </si>
  <si>
    <t>TAS</t>
  </si>
  <si>
    <t>NT</t>
  </si>
  <si>
    <t>ACT</t>
  </si>
  <si>
    <t>State/Territory</t>
  </si>
  <si>
    <t>Diesel</t>
  </si>
  <si>
    <t>Petrol (ULP)</t>
  </si>
  <si>
    <t>Renewable Electricity 
(From GreenPower, Renewable PPA, etc.)</t>
  </si>
  <si>
    <t>Scope 1</t>
  </si>
  <si>
    <t>Total emissions</t>
  </si>
  <si>
    <t>Emissions calculation</t>
  </si>
  <si>
    <t>Scope 1:</t>
  </si>
  <si>
    <t>Fuel type</t>
  </si>
  <si>
    <t>Consumption amount</t>
  </si>
  <si>
    <t>Emissions factor</t>
  </si>
  <si>
    <t>Natural gas</t>
  </si>
  <si>
    <t>kgCO2e/GJ</t>
  </si>
  <si>
    <t>&lt;&lt; NGA 2020</t>
  </si>
  <si>
    <t>&lt;&lt; NGA 2020, assumed 90.23 kgCO2e/GJ for all coal type</t>
  </si>
  <si>
    <t>Assume kgCO2e/GJ</t>
  </si>
  <si>
    <t>Scope 1 emissions (tCO2e)</t>
  </si>
  <si>
    <t>Scope 2:</t>
  </si>
  <si>
    <t>Elcetricity</t>
  </si>
  <si>
    <t>Electricity connection</t>
  </si>
  <si>
    <t>South West Interconnected System</t>
  </si>
  <si>
    <t>North Western Interconnected System</t>
  </si>
  <si>
    <t>Darwin Katherine Interconnected System</t>
  </si>
  <si>
    <t>Other</t>
  </si>
  <si>
    <t>Lookup</t>
  </si>
  <si>
    <t>WA - South West Interconnected System</t>
  </si>
  <si>
    <t>WA - North Western Interconnected System</t>
  </si>
  <si>
    <t>NT - Darwin Katherine Interconnected System</t>
  </si>
  <si>
    <t>NT - Other</t>
  </si>
  <si>
    <t>kg CO2-e/kWh</t>
  </si>
  <si>
    <t>Scope 1 + 2</t>
  </si>
  <si>
    <t>kgCO2e / tHSCW</t>
  </si>
  <si>
    <t>Scope 1 emissions</t>
  </si>
  <si>
    <t>Scope 1 + 2 emissions</t>
  </si>
  <si>
    <t>Scope 2 emissions</t>
  </si>
  <si>
    <t>emissions</t>
  </si>
  <si>
    <t>Emissions</t>
  </si>
  <si>
    <t>Scope 1 saving</t>
  </si>
  <si>
    <t>Scope 2 saving</t>
  </si>
  <si>
    <t>Scope 2 emissions (tCO2e)</t>
  </si>
  <si>
    <t>Sum of Scope 1 saving</t>
  </si>
  <si>
    <t>Sum of Scope 2 saving</t>
  </si>
  <si>
    <t>Total emissions saving</t>
  </si>
  <si>
    <t>Sum of Total emissions saving</t>
  </si>
  <si>
    <t xml:space="preserve">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(Eco-Efficiency Manual for Meat Processing - section 2.2.2, pg. 26-27) </t>
  </si>
  <si>
    <t xml:space="preserve">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t>
  </si>
  <si>
    <t xml:space="preserve">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(Eco-Efficiency Manual for Meat Processing - section 2.2.10, pg. 32) </t>
  </si>
  <si>
    <t>Flow control on continuous flow sterilisers (Eco-Efficiency Manual for Meat Processing - section 2.2.14, pg. 36-37)</t>
  </si>
  <si>
    <t>Sensor control of automatic carcase washing. Sensors that detect the presence of a carcase can avoid unnecessary water use. Sensor control could be expected to reduce water use by 30-50%. (Eco-Efficiency Manual for Meat Processing - section 2.2.18, pg. 39-40)</t>
  </si>
  <si>
    <t xml:space="preserve">Water sprays on splitting saws to reduce bone dust and reduce carcase washing. Fitting a water spray kit to a splitting saw would reduce water use for carcase washing by 50% compared with a full carcase wash.  (Eco-Efficiency Manual for Meat Processing - section 2.2.19, pg. 41) </t>
  </si>
  <si>
    <t xml:space="preserve">On/off controls for cooling water on breaking saws. Water use to breaking saws can be reduced by 50% through the installation of an on/off switch. (Eco-Efficiency Manual for Meat Processing - section 2.2.20, pg. 41)  </t>
  </si>
  <si>
    <t xml:space="preserve">Efficient water use in tripe and bible washing machines. Water use for tripe / bible washing can be reduced by 25% through better flow control or a more efficient machine. (Eco-Efficiency Manual for Meat Processing - section 2.2.24, pg. 44)  </t>
  </si>
  <si>
    <t xml:space="preserve">Water efficient gut washing systems (Eco-Efficiency Manual for Meat Processing - section 2.2.26, pg. 45) </t>
  </si>
  <si>
    <t xml:space="preserve">Maximise condensate recovery in steam distribution systems. Improving condensate recovery reduces the amount of water used as boiler feed, and reduces chemicals use due to the reduced amount of boiler feed water requiring pre-treatment. (Eco-Efficiency Manual for Meat Processing - section 2.2.36, pg. 52-53) </t>
  </si>
  <si>
    <t xml:space="preserve">Conductivity controlled blowdown on cooling towers. For a typical plant that has continuous blowdown, cooling water makeup could be reduced by around 50% by installing automatic blowdown controls. (Eco-Efficiency Manual for Meat Processing - section 2.2.37, pg. 53)  </t>
  </si>
  <si>
    <t xml:space="preserve">Fitting efficient spray nozzles. This opportunity is based on assuming that 55% of total water use is related to hose use, and that a conservative 10% reduction in water use can be achieved from the improved selection and maintenance of spray nozzles. (Eco-Efficiency Manual for Meat Processing - section 2.2.1, pg. 25-26)  </t>
  </si>
  <si>
    <t xml:space="preserve">Efficient continuous flow sterilisers (Eco-Efficiency Manual for Meat Processing - section 2.2.13, pg. 33) </t>
  </si>
  <si>
    <t xml:space="preserve">Automatic washers for tubs, cutting boards and trays. An automatic washing machine used for washing tubs, cutting boards and trays, can reduce water use by up to 95%. (Eco-Efficiency Manual for Meat Processing - section 2.2.32, pg. 50)  </t>
  </si>
  <si>
    <t xml:space="preserve">Floor cleaning machines for large areas (Eco-Efficiency Manual for Meat Processing - section 2.2.33, pg. 50) </t>
  </si>
  <si>
    <t xml:space="preserve">Rainwater harvesting. For those plants in urban areas that purchase municipal treated water from local councils or water boards, some savings can be made by supplementing water supplies with rainwater collected from roof surfaces. (Eco-Efficiency Manual for Meat Processing - section 2.4.1, pg. 56) </t>
  </si>
  <si>
    <t xml:space="preserve">High-pressure water ring main for cleaning. This opportunity assumes that pressurised water could be used for 75% of end-of-day plant cleaning, with a conservative reduction in water use of 40%. There would also be energy savings as about 40% of the water used for cleaning is hot. (Eco-Efficiency Manual for Meat Processing - section 2.2.31, pg. 49)  </t>
  </si>
  <si>
    <t>Install speed control on vacuum systems in the boning room and kill floor. (Eco-Efficiency Manual - 3.6.9, pg. 83)</t>
  </si>
  <si>
    <t>Dry dumping of paunch contents (Eco-Efficiency Manual for Meat Processing - section 2.2.23, pg. 43-44)</t>
  </si>
  <si>
    <t xml:space="preserve">Suspended mesh flooring in stockyards  (Eco-Efficiency Manual for Meat Processing - section 2.2.8, pg. 30) </t>
  </si>
  <si>
    <t xml:space="preserve">Install or upgrade power factor correction (PFC) equipment.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existing PFC equipment or install new PFC equipment. </t>
  </si>
  <si>
    <t>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(Eco-Efficiency Manual for Meat Processing - section 2.2.30, pg. 48)</t>
  </si>
  <si>
    <t xml:space="preserve">Minimising receipt of very dirty stock (Eco-Efficiency Manual for Meat Processing - section 2.2.3, pg. 28) </t>
  </si>
  <si>
    <t xml:space="preserve">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(Eco-Efficiency Manual for Meat Processing - section 2.2.6, pg. 29)  </t>
  </si>
  <si>
    <t>Avoiding under utilisation of spray capacity for stock washing.  Some meat plants have large pens capable of holding 50-100 head (cattle), with floor mounted and possibly overhead jets covering the entire area. If a small number of stock are washed at a time (say 20- 50), then water is wasted, since stock tend to crowd into the corner and only a portion (50-75%) of the spray capacity is utilised. (Eco-Efficiency Manual - section 2.2.4, pg. 28)</t>
  </si>
  <si>
    <t>Reports - Industry Environmental Sustainability Review 2010 (3%)</t>
  </si>
  <si>
    <t>If you have a steam system, check condensate return amount by measuring the chemical content in the hot well before chemical addition. If condensate return is below 60%, check that there are no major steam leaks or water leaks and review the business case for connecting remote steam users to the condensate return system.</t>
  </si>
  <si>
    <t>Conduct steam trap and system  review and fix leaks. The best approach is to employ an expert steam trap leak detection company to conduct investigations and fix the identified leaks. (Eco-Efficiency Manual - 3.3.3, p 63)</t>
  </si>
  <si>
    <t>Ensure that your boiler maintenance contractors have checked and adjusted boiler air/fuel control to minimise energy losses. (Eco-Efficiency Manual - section 3.3.6, pg. 65)</t>
  </si>
  <si>
    <t xml:space="preserve">Optimise the existing power factor correction (PFC) system. Check that the PFC system is reading at least 0.95 and above at maximum demand peaks. </t>
  </si>
  <si>
    <t>Identify and repair compressed air leaks . The best approach is to employ an expert compressed air leak detection company to conduct investigations and fix identified leaks. (Eco-Efficiency Manual - 3.3.6, pg. 81)</t>
  </si>
  <si>
    <t xml:space="preserve">Automatic controls for hand washing (Eco-Efficiency Manual for Meat Processing - section 2.2.35, pg. 51-52)  </t>
  </si>
  <si>
    <t>How much final product leaves the site as chilled/frozen?</t>
  </si>
  <si>
    <t>Sum of Consider Opportunity?-thermal</t>
  </si>
  <si>
    <t>Sum of Consider Opportunity?-elec</t>
  </si>
  <si>
    <t>Scope 1 emissions saving (tCO2e/yr)</t>
  </si>
  <si>
    <t>Scope 1 Emissions Saving</t>
  </si>
  <si>
    <t>Scope 2 Emissions Saving</t>
  </si>
  <si>
    <t>Scope 2 emissions saving (tCO2e/yr)</t>
  </si>
  <si>
    <t>Carbon emissions</t>
  </si>
  <si>
    <t xml:space="preserve">Total </t>
  </si>
  <si>
    <t>Energy and Water</t>
  </si>
  <si>
    <t>National Greenhouse Emission Factors (October 2020)</t>
  </si>
  <si>
    <t>7. Carbon Emissions</t>
  </si>
  <si>
    <t>No Cogeneration</t>
  </si>
  <si>
    <t>Custom biomass</t>
  </si>
  <si>
    <t>Cogeneration type</t>
  </si>
  <si>
    <t>Biomass boiler and steam turbine</t>
  </si>
  <si>
    <t>Gas turbine (with heat recovery)</t>
  </si>
  <si>
    <t>Gas engine (with heat recovery)</t>
  </si>
  <si>
    <t>Cogeneration: all costs of cogeneration fuels are applied to determine electricity generation cost. No costs are applied to waste heat recovery.</t>
  </si>
  <si>
    <t>Emissions per tonne</t>
  </si>
  <si>
    <t>Capacity</t>
  </si>
  <si>
    <t>AMPC Member</t>
  </si>
  <si>
    <t>Annual consumption - Cogen</t>
  </si>
  <si>
    <t>(blank)</t>
  </si>
  <si>
    <t>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</si>
</sst>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00_);_(* \(#,##0.00\);_(* &quot;-&quot;??_);_(@_)"/>
    <numFmt numFmtId="165" formatCode="_(&quot;$&quot;* #,##0.00_);_(&quot;$&quot;* \(#,##0.00\);_(&quot;$&quot;* &quot;-&quot;??_);_(@_)"/>
    <numFmt numFmtId="166" formatCode="_-* #,##0_-;\-* #,##0_-;_-* &quot;-&quot;??_-;_-@_-"/>
    <numFmt numFmtId="167" formatCode="0%;\-0%;&quot;-&quot;"/>
    <numFmt numFmtId="168" formatCode="0.0000"/>
    <numFmt numFmtId="169" formatCode="_-[$€-2]* #,##0.00_-;\-[$€-2]* #,##0.00_-;_-[$€-2]* &quot;-&quot;??_-"/>
    <numFmt numFmtId="170" formatCode="0.0E+00"/>
    <numFmt numFmtId="171" formatCode="_(* #,##0_);_(* \(#,##0\);_(* &quot;-&quot;??_);_(@_)"/>
    <numFmt numFmtId="172" formatCode="_(&quot;$&quot;* #,##0_);_(&quot;$&quot;* \(#,##0\);_(&quot;$&quot;* &quot;-&quot;??_);_(@_)"/>
    <numFmt numFmtId="173" formatCode="_-* #,##0.0_-;\-* #,##0.0_-;_-* &quot;-&quot;??_-;_-@_-"/>
    <numFmt numFmtId="174" formatCode="0.0"/>
    <numFmt numFmtId="175" formatCode="_(* #,##0.0_);_(* \(#,##0.0\);_(* &quot;-&quot;??_);_(@_)"/>
    <numFmt numFmtId="176" formatCode="#,##0&quot; MJ / tHSCW&quot;"/>
    <numFmt numFmtId="177" formatCode="#,##0&quot; kWh / tHSCW&quot;"/>
    <numFmt numFmtId="178" formatCode="#,##0&quot; kL / tHSCW&quot;"/>
    <numFmt numFmtId="179" formatCode="#,##0.0&quot; kL / tHSCW&quot;"/>
    <numFmt numFmtId="180" formatCode="&quot;$&quot;#,##0"/>
    <numFmt numFmtId="181" formatCode="0&quot; kg&quot;"/>
    <numFmt numFmtId="182" formatCode="&quot;$&quot;\ 0.00\ &quot;/ kWh&quot;"/>
    <numFmt numFmtId="183" formatCode="&quot;$&quot;\ 0.00\ &quot;/GJ&quot;"/>
    <numFmt numFmtId="184" formatCode="&quot;$&quot;\ 0.00\ &quot;/kL&quot;"/>
    <numFmt numFmtId="185" formatCode="0&quot; kg   &quot;"/>
    <numFmt numFmtId="186" formatCode="&quot;$&quot;\ #,##0&quot; / tHSCW&quot;"/>
    <numFmt numFmtId="187" formatCode="#,##0&quot; MJ/tHSCW&quot;"/>
    <numFmt numFmtId="188" formatCode="#,##0&quot; kWh/tHSCW&quot;"/>
    <numFmt numFmtId="189" formatCode="#,##0.0&quot; kL/tHSCW&quot;"/>
    <numFmt numFmtId="190" formatCode="&quot;$&quot;\ 0.00\ &quot;/kWh&quot;"/>
    <numFmt numFmtId="191" formatCode="&quot;$&quot;\ #,##0&quot; /tHSCW&quot;"/>
    <numFmt numFmtId="192" formatCode="#,##0_ ;\-#,##0\ "/>
    <numFmt numFmtId="193" formatCode="0.0%"/>
    <numFmt numFmtId="194" formatCode="#,##0\ &quot;tCO2e&quot;"/>
    <numFmt numFmtId="195" formatCode="#,##0\ &quot;kgCO2e/tHSCW&quot;"/>
  </numFmts>
  <fonts count="96" x14ac:knownFonts="1">
    <font>
      <sz val="10"/>
      <color theme="1"/>
      <name val="Arial"/>
      <family val="2"/>
      <scheme val="minor"/>
    </font>
    <font>
      <sz val="11"/>
      <color theme="1"/>
      <name val="Arial"/>
      <family val="2"/>
      <scheme val="minor"/>
    </font>
    <font>
      <sz val="10"/>
      <name val="Arial"/>
      <family val="2"/>
    </font>
    <font>
      <sz val="8"/>
      <name val="Arial"/>
      <family val="2"/>
    </font>
    <font>
      <sz val="10"/>
      <name val="Arial"/>
      <family val="2"/>
      <scheme val="minor"/>
    </font>
    <font>
      <sz val="10"/>
      <color theme="1"/>
      <name val="Arial"/>
      <family val="2"/>
      <scheme val="minor"/>
    </font>
    <font>
      <sz val="10"/>
      <color rgb="FF00B050"/>
      <name val="Arial"/>
      <family val="2"/>
      <scheme val="minor"/>
    </font>
    <font>
      <sz val="10"/>
      <color rgb="FFFF0000"/>
      <name val="Arial"/>
      <family val="2"/>
      <scheme val="minor"/>
    </font>
    <font>
      <b/>
      <sz val="10"/>
      <color rgb="FFFF0000"/>
      <name val="Arial"/>
      <family val="2"/>
      <scheme val="minor"/>
    </font>
    <font>
      <b/>
      <sz val="11"/>
      <color theme="3"/>
      <name val="Arial"/>
      <family val="2"/>
      <scheme val="minor"/>
    </font>
    <font>
      <b/>
      <sz val="18"/>
      <color theme="3"/>
      <name val="Arial"/>
      <family val="2"/>
      <scheme val="major"/>
    </font>
    <font>
      <sz val="11"/>
      <color rgb="FF006100"/>
      <name val="Arial"/>
      <family val="2"/>
      <scheme val="minor"/>
    </font>
    <font>
      <sz val="11"/>
      <color rgb="FF9C0006"/>
      <name val="Arial"/>
      <family val="2"/>
      <scheme val="minor"/>
    </font>
    <font>
      <sz val="11"/>
      <color rgb="FF9C65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1"/>
      <color indexed="8"/>
      <name val="Calibri"/>
      <family val="2"/>
    </font>
    <font>
      <b/>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b/>
      <sz val="10"/>
      <color theme="0" tint="-0.249977111117893"/>
      <name val="Arial"/>
      <family val="2"/>
    </font>
    <font>
      <sz val="10"/>
      <color theme="0" tint="-0.249977111117893"/>
      <name val="Arial"/>
      <family val="2"/>
    </font>
    <font>
      <sz val="11"/>
      <color theme="0" tint="-0.249977111117893"/>
      <name val="Arial"/>
      <family val="2"/>
      <scheme val="minor"/>
    </font>
    <font>
      <b/>
      <vertAlign val="subscript"/>
      <sz val="10"/>
      <color theme="0" tint="-0.249977111117893"/>
      <name val="Arial"/>
      <family val="2"/>
    </font>
    <font>
      <b/>
      <sz val="14"/>
      <color theme="0" tint="-0.249977111117893"/>
      <name val="Arial"/>
      <family val="2"/>
    </font>
    <font>
      <u/>
      <sz val="8"/>
      <name val="Arial"/>
      <family val="2"/>
      <scheme val="minor"/>
    </font>
    <font>
      <u/>
      <sz val="8"/>
      <name val="Arial"/>
      <family val="2"/>
    </font>
    <font>
      <u/>
      <sz val="9.35"/>
      <color theme="10"/>
      <name val="Calibri"/>
      <family val="2"/>
    </font>
    <font>
      <sz val="10"/>
      <color theme="0" tint="-0.499984740745262"/>
      <name val="Arial"/>
      <family val="2"/>
    </font>
    <font>
      <b/>
      <sz val="16"/>
      <color theme="1"/>
      <name val="Times New Roman"/>
      <family val="1"/>
    </font>
    <font>
      <sz val="10"/>
      <color theme="1"/>
      <name val="Times New Roman"/>
      <family val="1"/>
    </font>
    <font>
      <b/>
      <sz val="10"/>
      <color theme="1"/>
      <name val="Times New Roman"/>
      <family val="1"/>
    </font>
    <font>
      <b/>
      <vertAlign val="subscript"/>
      <sz val="10"/>
      <color theme="1"/>
      <name val="Times New Roman"/>
      <family val="1"/>
    </font>
    <font>
      <sz val="9"/>
      <color theme="1"/>
      <name val="Times New Roman"/>
      <family val="1"/>
    </font>
    <font>
      <b/>
      <vertAlign val="superscript"/>
      <sz val="10"/>
      <color theme="1"/>
      <name val="Times New Roman"/>
      <family val="1"/>
    </font>
    <font>
      <vertAlign val="superscript"/>
      <sz val="10"/>
      <color theme="1"/>
      <name val="Times New Roman"/>
      <family val="1"/>
    </font>
    <font>
      <sz val="11"/>
      <color theme="1"/>
      <name val="Times New Roman"/>
      <family val="1"/>
    </font>
    <font>
      <sz val="9"/>
      <color indexed="81"/>
      <name val="Tahoma"/>
      <family val="2"/>
    </font>
    <font>
      <b/>
      <sz val="9"/>
      <color indexed="81"/>
      <name val="Tahoma"/>
      <family val="2"/>
    </font>
    <font>
      <i/>
      <sz val="10"/>
      <name val="Arial"/>
      <family val="2"/>
      <scheme val="minor"/>
    </font>
    <font>
      <u/>
      <sz val="14"/>
      <color rgb="FF0070C0"/>
      <name val="Arial"/>
      <family val="2"/>
      <scheme val="minor"/>
    </font>
    <font>
      <sz val="9"/>
      <name val="Arial"/>
      <family val="2"/>
      <scheme val="minor"/>
    </font>
    <font>
      <sz val="12"/>
      <name val="Arial"/>
      <family val="2"/>
      <scheme val="minor"/>
    </font>
    <font>
      <i/>
      <sz val="8"/>
      <name val="Arial"/>
      <family val="2"/>
      <scheme val="minor"/>
    </font>
    <font>
      <b/>
      <sz val="10"/>
      <color rgb="FF00B050"/>
      <name val="Arial"/>
      <family val="2"/>
      <scheme val="minor"/>
    </font>
    <font>
      <b/>
      <sz val="10"/>
      <name val="Arial"/>
      <family val="2"/>
      <scheme val="minor"/>
    </font>
    <font>
      <i/>
      <sz val="10"/>
      <color rgb="FF00B0F0"/>
      <name val="Arial"/>
      <family val="2"/>
      <scheme val="minor"/>
    </font>
    <font>
      <b/>
      <i/>
      <sz val="10"/>
      <color rgb="FF00B0F0"/>
      <name val="Arial"/>
      <family val="2"/>
      <scheme val="minor"/>
    </font>
    <font>
      <sz val="18"/>
      <name val="Arial"/>
      <family val="2"/>
      <scheme val="minor"/>
    </font>
    <font>
      <i/>
      <sz val="18"/>
      <color rgb="FF00B0F0"/>
      <name val="Arial"/>
      <family val="2"/>
      <scheme val="minor"/>
    </font>
    <font>
      <b/>
      <sz val="12"/>
      <color theme="1"/>
      <name val="Arial"/>
      <family val="2"/>
      <scheme val="minor"/>
    </font>
    <font>
      <sz val="11"/>
      <color rgb="FF000000"/>
      <name val="Calibri"/>
      <family val="2"/>
    </font>
    <font>
      <vertAlign val="superscript"/>
      <sz val="10"/>
      <name val="Arial"/>
      <family val="2"/>
      <scheme val="minor"/>
    </font>
    <font>
      <sz val="10"/>
      <name val="Calibri"/>
      <family val="2"/>
    </font>
    <font>
      <sz val="11"/>
      <name val="Calibri"/>
      <family val="2"/>
    </font>
    <font>
      <b/>
      <sz val="12"/>
      <name val="Arial"/>
      <family val="2"/>
      <scheme val="minor"/>
    </font>
    <font>
      <b/>
      <i/>
      <sz val="12"/>
      <name val="Arial"/>
      <family val="2"/>
      <scheme val="minor"/>
    </font>
    <font>
      <b/>
      <sz val="15"/>
      <color rgb="FFC9252C"/>
      <name val="Arial"/>
      <family val="2"/>
      <scheme val="minor"/>
    </font>
    <font>
      <b/>
      <sz val="13"/>
      <color rgb="FFC9252C"/>
      <name val="Arial"/>
      <family val="2"/>
      <scheme val="minor"/>
    </font>
    <font>
      <b/>
      <sz val="22"/>
      <color rgb="FFC9252C"/>
      <name val="Arial"/>
      <family val="2"/>
      <scheme val="minor"/>
    </font>
    <font>
      <b/>
      <sz val="10"/>
      <color theme="0"/>
      <name val="Arial"/>
      <family val="2"/>
      <scheme val="minor"/>
    </font>
    <font>
      <b/>
      <sz val="10"/>
      <color rgb="FF2BA56B"/>
      <name val="Arial"/>
      <family val="2"/>
      <scheme val="minor"/>
    </font>
    <font>
      <sz val="11"/>
      <name val="Arial"/>
      <family val="2"/>
      <scheme val="major"/>
    </font>
    <font>
      <b/>
      <sz val="22"/>
      <color rgb="FFC9252C"/>
      <name val="Arial"/>
      <family val="2"/>
      <scheme val="major"/>
    </font>
    <font>
      <sz val="11"/>
      <color rgb="FF000000"/>
      <name val="Arial"/>
      <family val="2"/>
      <scheme val="major"/>
    </font>
    <font>
      <b/>
      <sz val="15"/>
      <color rgb="FFC9252C"/>
      <name val="Arial"/>
      <family val="2"/>
      <scheme val="major"/>
    </font>
    <font>
      <sz val="10"/>
      <name val="Arial"/>
      <family val="2"/>
      <scheme val="major"/>
    </font>
    <font>
      <b/>
      <sz val="10"/>
      <name val="Arial"/>
      <family val="2"/>
      <scheme val="major"/>
    </font>
    <font>
      <b/>
      <sz val="10"/>
      <color rgb="FF2BA56B"/>
      <name val="Arial"/>
      <family val="2"/>
      <scheme val="major"/>
    </font>
    <font>
      <b/>
      <sz val="10"/>
      <color theme="0"/>
      <name val="Arial"/>
      <family val="2"/>
      <scheme val="major"/>
    </font>
    <font>
      <i/>
      <sz val="8"/>
      <name val="Arial"/>
      <family val="2"/>
      <scheme val="major"/>
    </font>
    <font>
      <sz val="10"/>
      <color rgb="FF5E5F61"/>
      <name val="Arial"/>
      <family val="2"/>
    </font>
    <font>
      <sz val="8"/>
      <name val="Arial"/>
      <family val="2"/>
      <scheme val="minor"/>
    </font>
    <font>
      <b/>
      <sz val="9"/>
      <name val="Arial"/>
      <family val="2"/>
      <scheme val="minor"/>
    </font>
    <font>
      <u/>
      <sz val="11"/>
      <name val="Arial"/>
      <family val="2"/>
      <scheme val="minor"/>
    </font>
  </fonts>
  <fills count="7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CCFFFF"/>
        <bgColor indexed="64"/>
      </patternFill>
    </fill>
    <fill>
      <patternFill patternType="solid">
        <fgColor theme="1"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10"/>
      </patternFill>
    </fill>
    <fill>
      <patternFill patternType="solid">
        <fgColor indexed="53"/>
      </patternFill>
    </fill>
    <fill>
      <patternFill patternType="solid">
        <fgColor indexed="55"/>
      </patternFill>
    </fill>
    <fill>
      <patternFill patternType="solid">
        <fgColor indexed="4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3"/>
        <bgColor indexed="64"/>
      </patternFill>
    </fill>
    <fill>
      <patternFill patternType="solid">
        <fgColor rgb="FF92D050"/>
        <bgColor indexed="64"/>
      </patternFill>
    </fill>
    <fill>
      <patternFill patternType="solid">
        <fgColor theme="2"/>
        <bgColor indexed="64"/>
      </patternFill>
    </fill>
    <fill>
      <patternFill patternType="solid">
        <fgColor theme="9" tint="0.79998168889431442"/>
        <bgColor indexed="64"/>
      </patternFill>
    </fill>
    <fill>
      <patternFill patternType="solid">
        <fgColor rgb="FFF0F0F0"/>
        <bgColor indexed="64"/>
      </patternFill>
    </fill>
    <fill>
      <patternFill patternType="solid">
        <fgColor rgb="FFDCF8DC"/>
        <bgColor indexed="64"/>
      </patternFill>
    </fill>
    <fill>
      <patternFill patternType="solid">
        <fgColor rgb="FF2BA56B"/>
        <bgColor indexed="64"/>
      </patternFill>
    </fill>
  </fills>
  <borders count="9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ck">
        <color indexed="64"/>
      </top>
      <bottom/>
      <diagonal/>
    </border>
    <border>
      <left/>
      <right/>
      <top/>
      <bottom style="thick">
        <color indexed="64"/>
      </bottom>
      <diagonal/>
    </border>
    <border>
      <left/>
      <right/>
      <top style="medium">
        <color indexed="64"/>
      </top>
      <bottom style="thick">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thin">
        <color indexed="64"/>
      </top>
      <bottom/>
      <diagonal/>
    </border>
    <border>
      <left/>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rgb="FFC9252C"/>
      </bottom>
      <diagonal/>
    </border>
    <border>
      <left/>
      <right/>
      <top style="thick">
        <color rgb="FFC9252C"/>
      </top>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s>
  <cellStyleXfs count="169">
    <xf numFmtId="0" fontId="0" fillId="0" borderId="0"/>
    <xf numFmtId="9"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78" fillId="0" borderId="87" applyNumberFormat="0" applyFill="0" applyAlignment="0" applyProtection="0"/>
    <xf numFmtId="0" fontId="79" fillId="0" borderId="87" applyNumberFormat="0" applyFill="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20" applyNumberFormat="0" applyFill="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81" fillId="69" borderId="83" applyNumberFormat="0" applyAlignment="0" applyProtection="0"/>
    <xf numFmtId="0" fontId="14" fillId="11" borderId="22" applyNumberFormat="0" applyAlignment="0" applyProtection="0"/>
    <xf numFmtId="0" fontId="15" fillId="11" borderId="21" applyNumberFormat="0" applyAlignment="0" applyProtection="0"/>
    <xf numFmtId="0" fontId="16" fillId="0" borderId="23" applyNumberFormat="0" applyFill="0" applyAlignment="0" applyProtection="0"/>
    <xf numFmtId="0" fontId="17" fillId="12" borderId="2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26" applyNumberFormat="0" applyFill="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1" fillId="37" borderId="0" applyNumberFormat="0" applyBorder="0" applyAlignment="0" applyProtection="0"/>
    <xf numFmtId="0" fontId="1" fillId="0" borderId="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4" fillId="51"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3" borderId="0" applyNumberFormat="0" applyBorder="0" applyAlignment="0" applyProtection="0"/>
    <xf numFmtId="0" fontId="24" fillId="52"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4" fillId="57" borderId="0" applyNumberFormat="0" applyBorder="0" applyAlignment="0" applyProtection="0"/>
    <xf numFmtId="0" fontId="24" fillId="56" borderId="0" applyNumberFormat="0" applyBorder="0" applyAlignment="0" applyProtection="0"/>
    <xf numFmtId="0" fontId="24" fillId="53" borderId="0" applyNumberFormat="0" applyBorder="0" applyAlignment="0" applyProtection="0"/>
    <xf numFmtId="0" fontId="24" fillId="52" borderId="0" applyNumberFormat="0" applyBorder="0" applyAlignment="0" applyProtection="0"/>
    <xf numFmtId="0" fontId="24" fillId="58" borderId="0" applyNumberFormat="0" applyBorder="0" applyAlignment="0" applyProtection="0"/>
    <xf numFmtId="0" fontId="25" fillId="39" borderId="0" applyNumberFormat="0" applyBorder="0" applyAlignment="0" applyProtection="0"/>
    <xf numFmtId="0" fontId="26" fillId="45" borderId="28" applyNumberFormat="0" applyAlignment="0" applyProtection="0"/>
    <xf numFmtId="0" fontId="27" fillId="59" borderId="29" applyNumberFormat="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9" fontId="2" fillId="0" borderId="0" applyFont="0" applyFill="0" applyBorder="0" applyAlignment="0" applyProtection="0"/>
    <xf numFmtId="0" fontId="28" fillId="0" borderId="0" applyNumberFormat="0" applyFill="0" applyBorder="0" applyAlignment="0" applyProtection="0"/>
    <xf numFmtId="0" fontId="29" fillId="40" borderId="0" applyNumberFormat="0" applyBorder="0" applyAlignment="0" applyProtection="0"/>
    <xf numFmtId="0" fontId="30" fillId="0" borderId="30" applyNumberFormat="0" applyFill="0" applyAlignment="0" applyProtection="0"/>
    <xf numFmtId="0" fontId="31" fillId="0" borderId="31" applyNumberFormat="0" applyFill="0" applyAlignment="0" applyProtection="0"/>
    <xf numFmtId="0" fontId="32" fillId="0" borderId="32" applyNumberFormat="0" applyFill="0" applyAlignment="0" applyProtection="0"/>
    <xf numFmtId="0" fontId="32" fillId="0" borderId="0" applyNumberFormat="0" applyFill="0" applyBorder="0" applyAlignment="0" applyProtection="0"/>
    <xf numFmtId="0" fontId="40" fillId="0" borderId="0" applyNumberFormat="0" applyFill="0" applyBorder="0" applyAlignment="0" applyProtection="0">
      <alignment vertical="top"/>
      <protection locked="0"/>
    </xf>
    <xf numFmtId="0" fontId="33" fillId="43" borderId="28" applyNumberFormat="0" applyAlignment="0" applyProtection="0"/>
    <xf numFmtId="0" fontId="34" fillId="0" borderId="33" applyNumberFormat="0" applyFill="0" applyAlignment="0" applyProtection="0"/>
    <xf numFmtId="0" fontId="35" fillId="49"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1" fillId="0" borderId="0"/>
    <xf numFmtId="0" fontId="2" fillId="0" borderId="0"/>
    <xf numFmtId="0" fontId="2" fillId="0" borderId="0"/>
    <xf numFmtId="0" fontId="1" fillId="13" borderId="25" applyNumberFormat="0" applyFont="0" applyAlignment="0" applyProtection="0"/>
    <xf numFmtId="0" fontId="22" fillId="41" borderId="34" applyNumberFormat="0" applyFont="0" applyAlignment="0" applyProtection="0"/>
    <xf numFmtId="0" fontId="22" fillId="41" borderId="34" applyNumberFormat="0" applyFont="0" applyAlignment="0" applyProtection="0"/>
    <xf numFmtId="0" fontId="2" fillId="41" borderId="34" applyNumberFormat="0" applyFont="0" applyAlignment="0" applyProtection="0"/>
    <xf numFmtId="0" fontId="36" fillId="45" borderId="35" applyNumberFormat="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 fontId="2" fillId="60" borderId="4" applyFill="0" applyBorder="0" applyProtection="0">
      <alignment horizontal="center"/>
    </xf>
    <xf numFmtId="0" fontId="37" fillId="0" borderId="0" applyNumberFormat="0" applyFill="0" applyBorder="0" applyAlignment="0" applyProtection="0"/>
    <xf numFmtId="0" fontId="38" fillId="0" borderId="36" applyNumberFormat="0" applyFill="0" applyAlignment="0" applyProtection="0"/>
    <xf numFmtId="0" fontId="39" fillId="0" borderId="0" applyNumberFormat="0" applyFill="0" applyBorder="0" applyAlignment="0" applyProtection="0"/>
    <xf numFmtId="0" fontId="5" fillId="0" borderId="0"/>
    <xf numFmtId="0" fontId="2" fillId="0" borderId="0"/>
    <xf numFmtId="0" fontId="2" fillId="0" borderId="0"/>
    <xf numFmtId="0" fontId="46" fillId="0" borderId="0" applyNumberFormat="0" applyFill="0" applyBorder="0" applyAlignment="0" applyProtection="0">
      <alignment vertical="top"/>
      <protection locked="0"/>
    </xf>
    <xf numFmtId="9" fontId="5" fillId="0" borderId="0" applyFont="0" applyFill="0" applyBorder="0" applyAlignment="0" applyProtection="0"/>
    <xf numFmtId="0" fontId="47" fillId="0" borderId="0" applyNumberFormat="0" applyFill="0" applyBorder="0" applyAlignment="0" applyProtection="0">
      <alignment vertical="top"/>
      <protection locked="0"/>
    </xf>
    <xf numFmtId="164" fontId="5" fillId="0" borderId="0" applyFont="0" applyFill="0" applyBorder="0" applyAlignment="0" applyProtection="0"/>
    <xf numFmtId="0" fontId="2" fillId="0" borderId="0"/>
    <xf numFmtId="164" fontId="1" fillId="0" borderId="0" applyFont="0" applyFill="0" applyBorder="0" applyAlignment="0" applyProtection="0"/>
    <xf numFmtId="164" fontId="2" fillId="0" borderId="0" applyFont="0" applyFill="0" applyBorder="0" applyAlignment="0" applyProtection="0"/>
    <xf numFmtId="0" fontId="4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164" fontId="1" fillId="0" borderId="0" applyFont="0" applyFill="0" applyBorder="0" applyAlignment="0" applyProtection="0"/>
    <xf numFmtId="0" fontId="3" fillId="0" borderId="0"/>
    <xf numFmtId="0" fontId="3" fillId="0" borderId="0"/>
    <xf numFmtId="0" fontId="1" fillId="0" borderId="0"/>
    <xf numFmtId="0" fontId="1"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3" fillId="0" borderId="0"/>
    <xf numFmtId="0" fontId="1" fillId="0" borderId="0"/>
    <xf numFmtId="164" fontId="1" fillId="0" borderId="0" applyFont="0" applyFill="0" applyBorder="0" applyAlignment="0" applyProtection="0"/>
    <xf numFmtId="0" fontId="3" fillId="0" borderId="0"/>
    <xf numFmtId="0" fontId="1" fillId="0" borderId="0"/>
    <xf numFmtId="0" fontId="1" fillId="0" borderId="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0" fontId="3" fillId="0" borderId="0"/>
    <xf numFmtId="0" fontId="3" fillId="0" borderId="0"/>
    <xf numFmtId="0" fontId="1" fillId="0" borderId="0"/>
    <xf numFmtId="0" fontId="1" fillId="0" borderId="0"/>
    <xf numFmtId="0" fontId="5" fillId="0" borderId="0"/>
    <xf numFmtId="0" fontId="82" fillId="5" borderId="0"/>
    <xf numFmtId="0" fontId="4" fillId="68" borderId="83" applyNumberFormat="0" applyAlignment="0" applyProtection="0"/>
  </cellStyleXfs>
  <cellXfs count="800">
    <xf numFmtId="0" fontId="0" fillId="0" borderId="0" xfId="0"/>
    <xf numFmtId="0" fontId="4" fillId="0" borderId="0" xfId="0" applyFont="1"/>
    <xf numFmtId="0" fontId="4" fillId="2" borderId="0" xfId="0" applyFont="1" applyFill="1"/>
    <xf numFmtId="0" fontId="4" fillId="3" borderId="0" xfId="0" applyFont="1" applyFill="1"/>
    <xf numFmtId="0" fontId="4" fillId="5" borderId="0" xfId="0" applyFont="1" applyFill="1"/>
    <xf numFmtId="0" fontId="78" fillId="5" borderId="87" xfId="4" applyFill="1"/>
    <xf numFmtId="0" fontId="4" fillId="5" borderId="4" xfId="0" applyFont="1" applyFill="1" applyBorder="1"/>
    <xf numFmtId="165" fontId="4" fillId="5" borderId="4" xfId="3" applyFont="1" applyFill="1" applyBorder="1"/>
    <xf numFmtId="0" fontId="9" fillId="5" borderId="0" xfId="6" applyFill="1"/>
    <xf numFmtId="0" fontId="9" fillId="5" borderId="0" xfId="6" applyFill="1" applyAlignment="1">
      <alignment horizontal="left" indent="4"/>
    </xf>
    <xf numFmtId="0" fontId="7" fillId="5" borderId="0" xfId="0" applyFont="1" applyFill="1"/>
    <xf numFmtId="0" fontId="4" fillId="5" borderId="0" xfId="0" applyFont="1" applyFill="1" applyBorder="1" applyAlignment="1">
      <alignment vertical="center" wrapText="1"/>
    </xf>
    <xf numFmtId="0" fontId="4" fillId="5" borderId="4" xfId="0" applyFont="1" applyFill="1" applyBorder="1" applyAlignment="1">
      <alignment wrapText="1"/>
    </xf>
    <xf numFmtId="9" fontId="4" fillId="5" borderId="4" xfId="1" applyFont="1" applyFill="1" applyBorder="1"/>
    <xf numFmtId="0" fontId="4" fillId="6" borderId="4" xfId="0" applyFont="1" applyFill="1" applyBorder="1"/>
    <xf numFmtId="9" fontId="4" fillId="5" borderId="0" xfId="1" applyFont="1" applyFill="1"/>
    <xf numFmtId="0" fontId="4" fillId="6" borderId="0" xfId="0" applyFont="1" applyFill="1"/>
    <xf numFmtId="0" fontId="4" fillId="7" borderId="0" xfId="0" applyFont="1" applyFill="1"/>
    <xf numFmtId="0" fontId="4" fillId="5" borderId="0" xfId="0" applyFont="1" applyFill="1" applyAlignment="1">
      <alignment wrapText="1"/>
    </xf>
    <xf numFmtId="0" fontId="1" fillId="0" borderId="0" xfId="44"/>
    <xf numFmtId="0" fontId="2" fillId="4" borderId="0" xfId="44" applyFont="1" applyFill="1"/>
    <xf numFmtId="0" fontId="23" fillId="4" borderId="0" xfId="44" applyFont="1" applyFill="1" applyAlignment="1">
      <alignment horizontal="right"/>
    </xf>
    <xf numFmtId="0" fontId="2" fillId="4" borderId="0" xfId="44" applyFont="1" applyFill="1" applyAlignment="1">
      <alignment wrapText="1"/>
    </xf>
    <xf numFmtId="0" fontId="2" fillId="61" borderId="14" xfId="44" applyFont="1" applyFill="1" applyBorder="1" applyAlignment="1">
      <alignment horizontal="right" vertical="center" wrapText="1"/>
    </xf>
    <xf numFmtId="0" fontId="2" fillId="61" borderId="16" xfId="44" applyFont="1" applyFill="1" applyBorder="1" applyAlignment="1">
      <alignment horizontal="right" vertical="center" wrapText="1"/>
    </xf>
    <xf numFmtId="0" fontId="2" fillId="61" borderId="19" xfId="44" applyFont="1" applyFill="1" applyBorder="1" applyAlignment="1">
      <alignment horizontal="right" vertical="center" wrapText="1"/>
    </xf>
    <xf numFmtId="0" fontId="41" fillId="62" borderId="19" xfId="44" applyFont="1" applyFill="1" applyBorder="1" applyAlignment="1">
      <alignment horizontal="center" vertical="center" wrapText="1"/>
    </xf>
    <xf numFmtId="0" fontId="2" fillId="61" borderId="46" xfId="44" applyFont="1" applyFill="1" applyBorder="1" applyAlignment="1">
      <alignment horizontal="center" vertical="center"/>
    </xf>
    <xf numFmtId="0" fontId="2" fillId="61" borderId="40" xfId="44" applyFont="1" applyFill="1" applyBorder="1" applyAlignment="1">
      <alignment horizontal="center" vertical="center"/>
    </xf>
    <xf numFmtId="0" fontId="2" fillId="61" borderId="48" xfId="44" applyFont="1" applyFill="1" applyBorder="1" applyAlignment="1">
      <alignment horizontal="center" vertical="center" wrapText="1"/>
    </xf>
    <xf numFmtId="0" fontId="2" fillId="61" borderId="40" xfId="44" applyFont="1" applyFill="1" applyBorder="1" applyAlignment="1">
      <alignment horizontal="center" vertical="center" wrapText="1"/>
    </xf>
    <xf numFmtId="0" fontId="2" fillId="61" borderId="47" xfId="44" applyFont="1" applyFill="1" applyBorder="1" applyAlignment="1">
      <alignment vertical="top" wrapText="1"/>
    </xf>
    <xf numFmtId="0" fontId="2" fillId="61" borderId="2" xfId="44" applyFont="1" applyFill="1" applyBorder="1" applyAlignment="1">
      <alignment vertical="top" wrapText="1"/>
    </xf>
    <xf numFmtId="0" fontId="2" fillId="61" borderId="38" xfId="44" applyFont="1" applyFill="1" applyBorder="1" applyAlignment="1">
      <alignment vertical="top" wrapText="1"/>
    </xf>
    <xf numFmtId="0" fontId="2" fillId="61" borderId="2" xfId="44" applyFont="1" applyFill="1" applyBorder="1" applyAlignment="1">
      <alignment vertical="center" wrapText="1"/>
    </xf>
    <xf numFmtId="0" fontId="2" fillId="61" borderId="38" xfId="44" applyFont="1" applyFill="1" applyBorder="1" applyAlignment="1">
      <alignment vertical="center" wrapText="1"/>
    </xf>
    <xf numFmtId="168" fontId="2" fillId="61" borderId="53" xfId="44" applyNumberFormat="1" applyFont="1" applyFill="1" applyBorder="1" applyAlignment="1">
      <alignment horizontal="right" vertical="center" wrapText="1"/>
    </xf>
    <xf numFmtId="168" fontId="2" fillId="61" borderId="43" xfId="44" applyNumberFormat="1" applyFont="1" applyFill="1" applyBorder="1" applyAlignment="1">
      <alignment horizontal="right" vertical="center" wrapText="1"/>
    </xf>
    <xf numFmtId="0" fontId="2" fillId="61" borderId="49" xfId="44" applyFont="1" applyFill="1" applyBorder="1" applyAlignment="1">
      <alignment horizontal="right" vertical="center" wrapText="1"/>
    </xf>
    <xf numFmtId="0" fontId="2" fillId="61" borderId="43" xfId="44" applyFont="1" applyFill="1" applyBorder="1" applyAlignment="1">
      <alignment horizontal="right" vertical="center" wrapText="1"/>
    </xf>
    <xf numFmtId="0" fontId="2" fillId="61" borderId="43" xfId="44" applyFont="1" applyFill="1" applyBorder="1" applyAlignment="1">
      <alignment horizontal="right" vertical="top" wrapText="1"/>
    </xf>
    <xf numFmtId="168" fontId="2" fillId="61" borderId="49" xfId="44" applyNumberFormat="1" applyFont="1" applyFill="1" applyBorder="1" applyAlignment="1">
      <alignment horizontal="right" vertical="center" wrapText="1"/>
    </xf>
    <xf numFmtId="0" fontId="41" fillId="62" borderId="37" xfId="44" applyFont="1" applyFill="1" applyBorder="1" applyAlignment="1">
      <alignment horizontal="center" vertical="center" wrapText="1"/>
    </xf>
    <xf numFmtId="0" fontId="2" fillId="61" borderId="47" xfId="44" applyFont="1" applyFill="1" applyBorder="1" applyAlignment="1">
      <alignment horizontal="right" vertical="center" wrapText="1"/>
    </xf>
    <xf numFmtId="0" fontId="2" fillId="61" borderId="2" xfId="44" applyFont="1" applyFill="1" applyBorder="1" applyAlignment="1">
      <alignment horizontal="right" vertical="center" wrapText="1"/>
    </xf>
    <xf numFmtId="0" fontId="2" fillId="61" borderId="38" xfId="44" applyFont="1" applyFill="1" applyBorder="1" applyAlignment="1">
      <alignment horizontal="right" vertical="center" wrapText="1"/>
    </xf>
    <xf numFmtId="0" fontId="2" fillId="61" borderId="2" xfId="44" applyFont="1" applyFill="1" applyBorder="1" applyAlignment="1">
      <alignment horizontal="right" vertical="top" wrapText="1"/>
    </xf>
    <xf numFmtId="0" fontId="2" fillId="61" borderId="38" xfId="44" applyFont="1" applyFill="1" applyBorder="1" applyAlignment="1">
      <alignment horizontal="right" vertical="top" wrapText="1"/>
    </xf>
    <xf numFmtId="168" fontId="2" fillId="61" borderId="54" xfId="44" applyNumberFormat="1" applyFont="1" applyFill="1" applyBorder="1" applyAlignment="1">
      <alignment horizontal="left" vertical="center" wrapText="1"/>
    </xf>
    <xf numFmtId="168" fontId="2" fillId="61" borderId="27" xfId="44" applyNumberFormat="1" applyFont="1" applyFill="1" applyBorder="1" applyAlignment="1">
      <alignment horizontal="left" vertical="center" wrapText="1"/>
    </xf>
    <xf numFmtId="0" fontId="2" fillId="61" borderId="27" xfId="44" applyFont="1" applyFill="1" applyBorder="1" applyAlignment="1">
      <alignment horizontal="left"/>
    </xf>
    <xf numFmtId="0" fontId="2" fillId="61" borderId="45" xfId="44" applyFont="1" applyFill="1" applyBorder="1" applyAlignment="1">
      <alignment horizontal="left" vertical="center" wrapText="1"/>
    </xf>
    <xf numFmtId="0" fontId="2" fillId="61" borderId="27" xfId="44" applyFont="1" applyFill="1" applyBorder="1" applyAlignment="1">
      <alignment horizontal="left" vertical="center" wrapText="1"/>
    </xf>
    <xf numFmtId="0" fontId="2" fillId="61" borderId="27" xfId="44" applyFont="1" applyFill="1" applyBorder="1" applyAlignment="1">
      <alignment horizontal="left" vertical="top" wrapText="1"/>
    </xf>
    <xf numFmtId="168" fontId="2" fillId="61" borderId="45" xfId="44" applyNumberFormat="1" applyFont="1" applyFill="1" applyBorder="1" applyAlignment="1">
      <alignment horizontal="left" vertical="center" wrapText="1"/>
    </xf>
    <xf numFmtId="0" fontId="2" fillId="61" borderId="49" xfId="44" applyFont="1" applyFill="1" applyBorder="1" applyAlignment="1">
      <alignment horizontal="right" vertical="top" wrapText="1"/>
    </xf>
    <xf numFmtId="0" fontId="2" fillId="61" borderId="45" xfId="44" applyFont="1" applyFill="1" applyBorder="1" applyAlignment="1">
      <alignment horizontal="left" vertical="top" wrapText="1"/>
    </xf>
    <xf numFmtId="0" fontId="2" fillId="61" borderId="46" xfId="44" applyFont="1" applyFill="1" applyBorder="1" applyAlignment="1">
      <alignment horizontal="center" vertical="center" wrapText="1"/>
    </xf>
    <xf numFmtId="0" fontId="2" fillId="61" borderId="53" xfId="44" applyFont="1" applyFill="1" applyBorder="1" applyAlignment="1">
      <alignment horizontal="right" vertical="top" wrapText="1"/>
    </xf>
    <xf numFmtId="0" fontId="2" fillId="61" borderId="54" xfId="44" applyFont="1" applyFill="1" applyBorder="1" applyAlignment="1">
      <alignment horizontal="left" vertical="top" wrapText="1"/>
    </xf>
    <xf numFmtId="0" fontId="2" fillId="61" borderId="47" xfId="44" applyFont="1" applyFill="1" applyBorder="1" applyAlignment="1">
      <alignment horizontal="right" vertical="top" wrapText="1"/>
    </xf>
    <xf numFmtId="0" fontId="1" fillId="4" borderId="0" xfId="44" applyFill="1"/>
    <xf numFmtId="0" fontId="42" fillId="62" borderId="12" xfId="44" applyFont="1" applyFill="1" applyBorder="1" applyAlignment="1">
      <alignment vertical="center" wrapText="1"/>
    </xf>
    <xf numFmtId="0" fontId="42" fillId="62" borderId="13" xfId="44" applyFont="1" applyFill="1" applyBorder="1" applyAlignment="1">
      <alignment vertical="center" wrapText="1"/>
    </xf>
    <xf numFmtId="0" fontId="42" fillId="62" borderId="54" xfId="44" applyFont="1" applyFill="1" applyBorder="1" applyAlignment="1">
      <alignment vertical="center" wrapText="1"/>
    </xf>
    <xf numFmtId="0" fontId="42" fillId="62" borderId="17" xfId="44" applyFont="1" applyFill="1" applyBorder="1" applyAlignment="1">
      <alignment vertical="center" wrapText="1"/>
    </xf>
    <xf numFmtId="0" fontId="42" fillId="62" borderId="18" xfId="44" applyFont="1" applyFill="1" applyBorder="1" applyAlignment="1">
      <alignment vertical="center" wrapText="1"/>
    </xf>
    <xf numFmtId="0" fontId="42" fillId="62" borderId="45" xfId="44" applyFont="1" applyFill="1" applyBorder="1" applyAlignment="1">
      <alignment vertical="center" wrapText="1"/>
    </xf>
    <xf numFmtId="0" fontId="49" fillId="4" borderId="0" xfId="44" applyFont="1" applyFill="1"/>
    <xf numFmtId="0" fontId="41" fillId="62" borderId="39" xfId="44" applyFont="1" applyFill="1" applyBorder="1" applyAlignment="1">
      <alignment horizontal="center" vertical="center" textRotation="90" wrapText="1"/>
    </xf>
    <xf numFmtId="0" fontId="2" fillId="7" borderId="2" xfId="44" applyFont="1" applyFill="1" applyBorder="1" applyAlignment="1">
      <alignment horizontal="right" vertical="center" wrapText="1"/>
    </xf>
    <xf numFmtId="168" fontId="2" fillId="7" borderId="27" xfId="44" applyNumberFormat="1" applyFont="1" applyFill="1" applyBorder="1" applyAlignment="1">
      <alignment horizontal="left" vertical="center" wrapText="1"/>
    </xf>
    <xf numFmtId="0" fontId="2" fillId="7" borderId="43" xfId="44" applyFont="1" applyFill="1" applyBorder="1" applyAlignment="1">
      <alignment horizontal="right" vertical="center" wrapText="1"/>
    </xf>
    <xf numFmtId="170" fontId="2" fillId="61" borderId="38" xfId="44" applyNumberFormat="1" applyFont="1" applyFill="1" applyBorder="1" applyAlignment="1">
      <alignment horizontal="right" vertical="top" wrapText="1"/>
    </xf>
    <xf numFmtId="0" fontId="2" fillId="61" borderId="27" xfId="44" applyFont="1" applyFill="1" applyBorder="1" applyAlignment="1">
      <alignment horizontal="right" vertical="top" wrapText="1"/>
    </xf>
    <xf numFmtId="170" fontId="2" fillId="61" borderId="2" xfId="44" applyNumberFormat="1" applyFont="1" applyFill="1" applyBorder="1" applyAlignment="1">
      <alignment horizontal="right" vertical="top" wrapText="1"/>
    </xf>
    <xf numFmtId="2" fontId="2" fillId="61" borderId="2" xfId="44" applyNumberFormat="1" applyFont="1" applyFill="1" applyBorder="1" applyAlignment="1">
      <alignment horizontal="right" vertical="top" wrapText="1"/>
    </xf>
    <xf numFmtId="0" fontId="2" fillId="61" borderId="0" xfId="44" applyFont="1" applyFill="1"/>
    <xf numFmtId="0" fontId="41" fillId="62" borderId="39" xfId="44" applyFont="1" applyFill="1" applyBorder="1" applyAlignment="1">
      <alignment horizontal="center" vertical="center" wrapText="1"/>
    </xf>
    <xf numFmtId="0" fontId="2" fillId="61" borderId="15" xfId="44" applyFont="1" applyFill="1" applyBorder="1" applyAlignment="1">
      <alignment horizontal="center" vertical="center" wrapText="1"/>
    </xf>
    <xf numFmtId="0" fontId="2" fillId="61" borderId="0" xfId="44" applyFont="1" applyFill="1" applyBorder="1" applyAlignment="1">
      <alignment vertical="center" wrapText="1"/>
    </xf>
    <xf numFmtId="0" fontId="2" fillId="61" borderId="0" xfId="44" applyFont="1" applyFill="1" applyBorder="1" applyAlignment="1">
      <alignment horizontal="right" vertical="center" wrapText="1"/>
    </xf>
    <xf numFmtId="0" fontId="50" fillId="0" borderId="0" xfId="0" applyFont="1" applyAlignment="1">
      <alignment horizontal="left" vertical="center" indent="6"/>
    </xf>
    <xf numFmtId="0" fontId="51" fillId="0" borderId="0" xfId="0" applyFont="1" applyAlignment="1">
      <alignment vertical="center"/>
    </xf>
    <xf numFmtId="0" fontId="52" fillId="0" borderId="0" xfId="0" applyFont="1" applyAlignment="1">
      <alignment vertical="center" wrapText="1"/>
    </xf>
    <xf numFmtId="0" fontId="52" fillId="0" borderId="58" xfId="0" applyFont="1" applyBorder="1" applyAlignment="1">
      <alignment vertical="center" wrapText="1"/>
    </xf>
    <xf numFmtId="0" fontId="0" fillId="0" borderId="0" xfId="0" applyAlignment="1">
      <alignment vertical="top" wrapText="1"/>
    </xf>
    <xf numFmtId="0" fontId="0" fillId="0" borderId="59" xfId="0" applyBorder="1" applyAlignment="1">
      <alignment vertical="top" wrapText="1"/>
    </xf>
    <xf numFmtId="0" fontId="52" fillId="0" borderId="59" xfId="0" applyFont="1" applyBorder="1" applyAlignment="1">
      <alignment vertical="center" wrapText="1"/>
    </xf>
    <xf numFmtId="0" fontId="51" fillId="0" borderId="0" xfId="0" applyFont="1" applyAlignment="1">
      <alignment vertical="center" wrapText="1"/>
    </xf>
    <xf numFmtId="0" fontId="51" fillId="0" borderId="59" xfId="0" applyFont="1" applyBorder="1" applyAlignment="1">
      <alignment vertical="center" wrapText="1"/>
    </xf>
    <xf numFmtId="0" fontId="54" fillId="0" borderId="0" xfId="0" applyFont="1" applyAlignment="1">
      <alignment horizontal="left" vertical="center" indent="11"/>
    </xf>
    <xf numFmtId="0" fontId="51" fillId="0" borderId="44" xfId="0" applyFont="1" applyBorder="1" applyAlignment="1">
      <alignment vertical="center" wrapText="1"/>
    </xf>
    <xf numFmtId="0" fontId="51" fillId="0" borderId="19" xfId="0" applyFont="1" applyBorder="1" applyAlignment="1">
      <alignment vertical="center" wrapText="1"/>
    </xf>
    <xf numFmtId="0" fontId="51" fillId="0" borderId="61" xfId="0" applyFont="1" applyBorder="1" applyAlignment="1">
      <alignment vertical="center" wrapText="1"/>
    </xf>
    <xf numFmtId="0" fontId="51" fillId="0" borderId="62" xfId="0" applyFont="1" applyBorder="1" applyAlignment="1">
      <alignment vertical="center" wrapText="1"/>
    </xf>
    <xf numFmtId="0" fontId="51" fillId="3" borderId="19" xfId="0" applyFont="1" applyFill="1" applyBorder="1" applyAlignment="1">
      <alignment vertical="center" wrapText="1"/>
    </xf>
    <xf numFmtId="171" fontId="4" fillId="5" borderId="0" xfId="2" applyNumberFormat="1" applyFont="1" applyFill="1"/>
    <xf numFmtId="0" fontId="4" fillId="5" borderId="42" xfId="0" applyFont="1" applyFill="1" applyBorder="1"/>
    <xf numFmtId="0" fontId="4" fillId="5" borderId="0" xfId="0" applyFont="1" applyFill="1" applyAlignment="1">
      <alignment horizontal="right"/>
    </xf>
    <xf numFmtId="0" fontId="4" fillId="5" borderId="1" xfId="0" applyFont="1" applyFill="1" applyBorder="1"/>
    <xf numFmtId="165" fontId="4" fillId="5" borderId="0" xfId="3" applyFont="1" applyFill="1"/>
    <xf numFmtId="172" fontId="4" fillId="5" borderId="4" xfId="3" applyNumberFormat="1" applyFont="1" applyFill="1" applyBorder="1" applyAlignment="1">
      <alignment wrapText="1"/>
    </xf>
    <xf numFmtId="171" fontId="4" fillId="5" borderId="0" xfId="0" applyNumberFormat="1" applyFont="1" applyFill="1"/>
    <xf numFmtId="0" fontId="4" fillId="5" borderId="4" xfId="0" applyFont="1" applyFill="1" applyBorder="1" applyAlignment="1">
      <alignment vertical="center"/>
    </xf>
    <xf numFmtId="0" fontId="4" fillId="5" borderId="4" xfId="0" applyFont="1" applyFill="1" applyBorder="1" applyAlignment="1">
      <alignment vertical="center" wrapText="1"/>
    </xf>
    <xf numFmtId="0" fontId="4" fillId="0" borderId="4" xfId="0" applyFont="1" applyFill="1" applyBorder="1"/>
    <xf numFmtId="166" fontId="4" fillId="5" borderId="0" xfId="0" applyNumberFormat="1" applyFont="1" applyFill="1"/>
    <xf numFmtId="0" fontId="4" fillId="0" borderId="0" xfId="0" applyFont="1" applyFill="1"/>
    <xf numFmtId="0" fontId="0" fillId="0" borderId="0" xfId="0" pivotButton="1"/>
    <xf numFmtId="172" fontId="0" fillId="0" borderId="0" xfId="3" applyNumberFormat="1" applyFont="1"/>
    <xf numFmtId="171" fontId="0" fillId="0" borderId="0" xfId="2" applyNumberFormat="1" applyFont="1"/>
    <xf numFmtId="0" fontId="0" fillId="0" borderId="0" xfId="0" pivotButton="1" applyAlignment="1">
      <alignment wrapText="1"/>
    </xf>
    <xf numFmtId="0" fontId="0" fillId="0" borderId="0" xfId="0" applyAlignment="1">
      <alignment wrapText="1"/>
    </xf>
    <xf numFmtId="172" fontId="0" fillId="0" borderId="0" xfId="3" applyNumberFormat="1" applyFont="1" applyAlignment="1">
      <alignment horizontal="center"/>
    </xf>
    <xf numFmtId="0" fontId="4" fillId="5" borderId="4" xfId="0" applyFont="1" applyFill="1" applyBorder="1" applyAlignment="1">
      <alignment wrapText="1"/>
    </xf>
    <xf numFmtId="9" fontId="4" fillId="0" borderId="4" xfId="1" applyFont="1" applyFill="1" applyBorder="1" applyAlignment="1">
      <alignment horizontal="center"/>
    </xf>
    <xf numFmtId="164" fontId="4" fillId="0" borderId="4" xfId="2" applyFont="1" applyFill="1" applyBorder="1"/>
    <xf numFmtId="0" fontId="6" fillId="5" borderId="0" xfId="0" applyFont="1" applyFill="1"/>
    <xf numFmtId="0" fontId="4" fillId="5" borderId="0" xfId="0" applyFont="1" applyFill="1"/>
    <xf numFmtId="172" fontId="62" fillId="5" borderId="4" xfId="3" applyNumberFormat="1" applyFont="1" applyFill="1" applyBorder="1"/>
    <xf numFmtId="172" fontId="62" fillId="5" borderId="4" xfId="0" applyNumberFormat="1" applyFont="1" applyFill="1" applyBorder="1"/>
    <xf numFmtId="0" fontId="4" fillId="5" borderId="0" xfId="0" applyFont="1" applyFill="1"/>
    <xf numFmtId="0" fontId="4" fillId="5" borderId="4" xfId="0" applyFont="1" applyFill="1" applyBorder="1" applyAlignment="1">
      <alignment wrapText="1"/>
    </xf>
    <xf numFmtId="0" fontId="4" fillId="5" borderId="0" xfId="0" applyFont="1" applyFill="1"/>
    <xf numFmtId="0" fontId="4" fillId="5" borderId="0" xfId="0" applyFont="1" applyFill="1" applyAlignment="1">
      <alignment wrapText="1"/>
    </xf>
    <xf numFmtId="0" fontId="4" fillId="5" borderId="4" xfId="0" applyFont="1" applyFill="1" applyBorder="1"/>
    <xf numFmtId="0" fontId="4" fillId="64" borderId="0" xfId="0" applyFont="1" applyFill="1" applyAlignment="1">
      <alignment horizontal="center"/>
    </xf>
    <xf numFmtId="0" fontId="4" fillId="5" borderId="0" xfId="0" applyFont="1" applyFill="1"/>
    <xf numFmtId="0" fontId="4" fillId="5" borderId="0" xfId="0" applyFont="1" applyFill="1" applyAlignment="1">
      <alignment horizontal="left"/>
    </xf>
    <xf numFmtId="0" fontId="4" fillId="5" borderId="2" xfId="0" applyFont="1" applyFill="1" applyBorder="1"/>
    <xf numFmtId="0" fontId="4" fillId="5" borderId="4" xfId="0" quotePrefix="1" applyFont="1" applyFill="1" applyBorder="1" applyAlignment="1">
      <alignment horizontal="center"/>
    </xf>
    <xf numFmtId="0" fontId="4" fillId="5" borderId="4" xfId="0" applyFont="1" applyFill="1" applyBorder="1" applyAlignment="1">
      <alignment horizontal="left" vertical="center"/>
    </xf>
    <xf numFmtId="0" fontId="63" fillId="5" borderId="0" xfId="0" applyFont="1" applyFill="1"/>
    <xf numFmtId="0" fontId="63" fillId="5" borderId="0" xfId="0" applyFont="1" applyFill="1" applyAlignment="1">
      <alignment vertical="center" wrapText="1"/>
    </xf>
    <xf numFmtId="0" fontId="63" fillId="5" borderId="0" xfId="0" applyFont="1" applyFill="1" applyAlignment="1">
      <alignment vertical="center"/>
    </xf>
    <xf numFmtId="0" fontId="4" fillId="0" borderId="4" xfId="0" applyFont="1" applyFill="1" applyBorder="1" applyAlignment="1">
      <alignment vertical="center"/>
    </xf>
    <xf numFmtId="0" fontId="4" fillId="5" borderId="0" xfId="0" applyFont="1" applyFill="1"/>
    <xf numFmtId="0" fontId="4" fillId="5" borderId="0" xfId="0" applyFont="1" applyFill="1"/>
    <xf numFmtId="0" fontId="4" fillId="61" borderId="0" xfId="0" applyFont="1" applyFill="1"/>
    <xf numFmtId="0" fontId="4" fillId="5" borderId="0" xfId="0" applyFont="1" applyFill="1"/>
    <xf numFmtId="0" fontId="4" fillId="5" borderId="4" xfId="0" applyFont="1" applyFill="1" applyBorder="1" applyAlignment="1">
      <alignment horizontal="center"/>
    </xf>
    <xf numFmtId="0" fontId="4" fillId="5" borderId="4" xfId="0" applyFont="1" applyFill="1" applyBorder="1" applyAlignment="1">
      <alignment horizontal="center" vertical="center"/>
    </xf>
    <xf numFmtId="0" fontId="4" fillId="5" borderId="7" xfId="0" applyFont="1" applyFill="1" applyBorder="1"/>
    <xf numFmtId="0" fontId="4" fillId="5" borderId="8" xfId="0" applyFont="1" applyFill="1" applyBorder="1"/>
    <xf numFmtId="0" fontId="4" fillId="5" borderId="4" xfId="0" applyFont="1" applyFill="1" applyBorder="1" applyAlignment="1">
      <alignment wrapText="1"/>
    </xf>
    <xf numFmtId="0" fontId="4" fillId="5" borderId="4" xfId="0" applyFont="1" applyFill="1" applyBorder="1"/>
    <xf numFmtId="0" fontId="4" fillId="5" borderId="1" xfId="0" applyFont="1" applyFill="1" applyBorder="1"/>
    <xf numFmtId="0" fontId="4" fillId="5" borderId="0" xfId="0" applyFont="1" applyFill="1"/>
    <xf numFmtId="0" fontId="4" fillId="5" borderId="0" xfId="0" applyFont="1" applyFill="1" applyAlignment="1">
      <alignment wrapText="1"/>
    </xf>
    <xf numFmtId="0" fontId="4" fillId="5" borderId="0" xfId="0" applyFont="1" applyFill="1" applyAlignment="1">
      <alignment vertical="center"/>
    </xf>
    <xf numFmtId="0" fontId="4" fillId="5" borderId="0" xfId="0" applyFont="1" applyFill="1" applyAlignment="1">
      <alignment vertical="center" wrapText="1"/>
    </xf>
    <xf numFmtId="175" fontId="4" fillId="5" borderId="0" xfId="2" applyNumberFormat="1" applyFont="1" applyFill="1"/>
    <xf numFmtId="0" fontId="4" fillId="5" borderId="4" xfId="0" applyFont="1" applyFill="1" applyBorder="1"/>
    <xf numFmtId="0" fontId="4" fillId="5" borderId="4" xfId="0" applyFont="1" applyFill="1" applyBorder="1" applyAlignment="1">
      <alignment horizontal="center" wrapText="1"/>
    </xf>
    <xf numFmtId="0" fontId="4" fillId="5" borderId="4" xfId="0" applyFont="1" applyFill="1" applyBorder="1" applyAlignment="1">
      <alignment wrapText="1"/>
    </xf>
    <xf numFmtId="0" fontId="4" fillId="5" borderId="0" xfId="0" applyFont="1" applyFill="1"/>
    <xf numFmtId="0" fontId="4" fillId="5" borderId="0" xfId="0" applyFont="1" applyFill="1" applyAlignment="1">
      <alignment wrapText="1"/>
    </xf>
    <xf numFmtId="0" fontId="4" fillId="5" borderId="0" xfId="0" applyFont="1" applyFill="1" applyAlignment="1">
      <alignment vertical="center"/>
    </xf>
    <xf numFmtId="0" fontId="4" fillId="5" borderId="0" xfId="0" applyFont="1" applyFill="1" applyAlignment="1">
      <alignment vertical="center" wrapText="1"/>
    </xf>
    <xf numFmtId="167" fontId="4" fillId="5" borderId="0" xfId="0" applyNumberFormat="1" applyFont="1" applyFill="1" applyAlignment="1">
      <alignment vertical="center"/>
    </xf>
    <xf numFmtId="0" fontId="4" fillId="5" borderId="68" xfId="0" applyFont="1" applyFill="1" applyBorder="1" applyAlignment="1">
      <alignment vertical="center" wrapText="1"/>
    </xf>
    <xf numFmtId="167" fontId="4" fillId="5" borderId="67" xfId="0" applyNumberFormat="1" applyFont="1" applyFill="1" applyBorder="1" applyAlignment="1">
      <alignment vertical="center"/>
    </xf>
    <xf numFmtId="167" fontId="4" fillId="5" borderId="27" xfId="0" applyNumberFormat="1" applyFont="1" applyFill="1" applyBorder="1" applyAlignment="1">
      <alignment vertical="center"/>
    </xf>
    <xf numFmtId="0" fontId="4" fillId="5" borderId="10" xfId="0" applyFont="1" applyFill="1" applyBorder="1" applyAlignment="1">
      <alignment vertical="center" wrapText="1"/>
    </xf>
    <xf numFmtId="167" fontId="4" fillId="5" borderId="42" xfId="0" applyNumberFormat="1" applyFont="1" applyFill="1" applyBorder="1" applyAlignment="1">
      <alignment vertical="center"/>
    </xf>
    <xf numFmtId="1" fontId="4" fillId="5" borderId="68" xfId="0" applyNumberFormat="1" applyFont="1" applyFill="1" applyBorder="1"/>
    <xf numFmtId="1" fontId="4" fillId="5" borderId="0" xfId="0" applyNumberFormat="1" applyFont="1" applyFill="1" applyBorder="1"/>
    <xf numFmtId="1" fontId="4" fillId="5" borderId="10" xfId="0" applyNumberFormat="1" applyFont="1" applyFill="1" applyBorder="1"/>
    <xf numFmtId="174" fontId="4" fillId="0" borderId="4" xfId="0" applyNumberFormat="1" applyFont="1" applyFill="1" applyBorder="1" applyAlignment="1">
      <alignment vertical="center"/>
    </xf>
    <xf numFmtId="0" fontId="4" fillId="5" borderId="1" xfId="0" applyFont="1" applyFill="1" applyBorder="1" applyAlignment="1">
      <alignment wrapText="1"/>
    </xf>
    <xf numFmtId="173" fontId="4" fillId="5" borderId="6" xfId="0" applyNumberFormat="1" applyFont="1" applyFill="1" applyBorder="1"/>
    <xf numFmtId="175" fontId="4" fillId="5" borderId="4" xfId="2" applyNumberFormat="1" applyFont="1" applyFill="1" applyBorder="1"/>
    <xf numFmtId="166" fontId="4" fillId="5" borderId="0" xfId="2" applyNumberFormat="1" applyFont="1" applyFill="1" applyAlignment="1">
      <alignment vertical="center"/>
    </xf>
    <xf numFmtId="166" fontId="4" fillId="5" borderId="0" xfId="2" applyNumberFormat="1" applyFont="1" applyFill="1" applyAlignment="1">
      <alignment vertical="center" wrapText="1"/>
    </xf>
    <xf numFmtId="167" fontId="4" fillId="5" borderId="0" xfId="0" applyNumberFormat="1" applyFont="1" applyFill="1"/>
    <xf numFmtId="9" fontId="4" fillId="5" borderId="0" xfId="1" applyFont="1" applyFill="1" applyAlignment="1">
      <alignment vertical="center"/>
    </xf>
    <xf numFmtId="0" fontId="82" fillId="5" borderId="0" xfId="167"/>
    <xf numFmtId="0" fontId="66" fillId="5" borderId="0" xfId="0" applyFont="1" applyFill="1" applyAlignment="1">
      <alignment vertical="center" wrapText="1"/>
    </xf>
    <xf numFmtId="166" fontId="67" fillId="5" borderId="0" xfId="2" applyNumberFormat="1" applyFont="1" applyFill="1" applyAlignment="1">
      <alignment vertical="center"/>
    </xf>
    <xf numFmtId="166" fontId="68" fillId="5" borderId="0" xfId="2" applyNumberFormat="1" applyFont="1" applyFill="1" applyAlignment="1">
      <alignment vertical="center"/>
    </xf>
    <xf numFmtId="1" fontId="4" fillId="0" borderId="4" xfId="0" applyNumberFormat="1" applyFont="1" applyFill="1" applyBorder="1" applyAlignment="1">
      <alignment vertical="center"/>
    </xf>
    <xf numFmtId="1" fontId="4" fillId="5" borderId="4" xfId="0" applyNumberFormat="1" applyFont="1" applyFill="1" applyBorder="1" applyAlignment="1">
      <alignment vertical="center"/>
    </xf>
    <xf numFmtId="9" fontId="67" fillId="5" borderId="4" xfId="1" applyFont="1" applyFill="1" applyBorder="1"/>
    <xf numFmtId="175" fontId="67" fillId="5" borderId="4" xfId="2" applyNumberFormat="1" applyFont="1" applyFill="1" applyBorder="1"/>
    <xf numFmtId="0" fontId="67" fillId="5" borderId="0" xfId="0" applyFont="1" applyFill="1"/>
    <xf numFmtId="164" fontId="67" fillId="5" borderId="0" xfId="2" applyFont="1" applyFill="1"/>
    <xf numFmtId="166" fontId="4" fillId="5" borderId="6" xfId="0" applyNumberFormat="1" applyFont="1" applyFill="1" applyBorder="1"/>
    <xf numFmtId="0" fontId="69" fillId="5" borderId="0" xfId="0" applyFont="1" applyFill="1" applyAlignment="1">
      <alignment horizontal="right"/>
    </xf>
    <xf numFmtId="175" fontId="70" fillId="5" borderId="0" xfId="0" applyNumberFormat="1" applyFont="1" applyFill="1"/>
    <xf numFmtId="175" fontId="69" fillId="5" borderId="0" xfId="0" applyNumberFormat="1" applyFont="1" applyFill="1"/>
    <xf numFmtId="0" fontId="4" fillId="5" borderId="4" xfId="0" applyFont="1" applyFill="1" applyBorder="1" applyAlignment="1">
      <alignment horizontal="right"/>
    </xf>
    <xf numFmtId="173" fontId="4" fillId="5" borderId="0" xfId="0" applyNumberFormat="1" applyFont="1" applyFill="1"/>
    <xf numFmtId="9" fontId="4" fillId="5" borderId="4" xfId="1" applyFont="1" applyFill="1" applyBorder="1" applyAlignment="1">
      <alignment vertical="center"/>
    </xf>
    <xf numFmtId="166" fontId="4" fillId="5" borderId="4" xfId="2" applyNumberFormat="1" applyFont="1" applyFill="1" applyBorder="1" applyAlignment="1">
      <alignment horizontal="right" vertical="center" wrapText="1"/>
    </xf>
    <xf numFmtId="0" fontId="4" fillId="5" borderId="4" xfId="0" applyFont="1" applyFill="1" applyBorder="1" applyAlignment="1">
      <alignment horizontal="right" vertical="center"/>
    </xf>
    <xf numFmtId="175" fontId="4" fillId="5" borderId="0" xfId="0" applyNumberFormat="1" applyFont="1" applyFill="1"/>
    <xf numFmtId="175" fontId="4" fillId="5" borderId="4" xfId="2" applyNumberFormat="1" applyFont="1" applyFill="1" applyBorder="1" applyAlignment="1">
      <alignment horizontal="center"/>
    </xf>
    <xf numFmtId="171" fontId="4" fillId="5" borderId="4" xfId="2" applyNumberFormat="1" applyFont="1" applyFill="1" applyBorder="1" applyAlignment="1">
      <alignment horizontal="center"/>
    </xf>
    <xf numFmtId="0" fontId="4" fillId="5" borderId="4" xfId="0" applyFont="1" applyFill="1" applyBorder="1" applyAlignment="1">
      <alignment horizontal="left"/>
    </xf>
    <xf numFmtId="0" fontId="4" fillId="5" borderId="4" xfId="0" applyFont="1" applyFill="1" applyBorder="1"/>
    <xf numFmtId="0" fontId="4" fillId="5" borderId="4" xfId="0" applyFont="1" applyFill="1" applyBorder="1" applyAlignment="1">
      <alignment wrapText="1"/>
    </xf>
    <xf numFmtId="0" fontId="4" fillId="5" borderId="3" xfId="0" applyFont="1" applyFill="1" applyBorder="1"/>
    <xf numFmtId="0" fontId="4" fillId="5" borderId="0" xfId="0" applyFont="1" applyFill="1"/>
    <xf numFmtId="0" fontId="4" fillId="5" borderId="0" xfId="0" applyFont="1" applyFill="1" applyAlignment="1">
      <alignment wrapText="1"/>
    </xf>
    <xf numFmtId="0" fontId="4" fillId="5" borderId="0" xfId="0" applyFont="1" applyFill="1" applyAlignment="1">
      <alignment vertical="center"/>
    </xf>
    <xf numFmtId="164" fontId="4" fillId="5" borderId="4" xfId="2" applyNumberFormat="1" applyFont="1" applyFill="1" applyBorder="1"/>
    <xf numFmtId="0" fontId="4" fillId="5" borderId="0" xfId="0" applyFont="1" applyFill="1" applyBorder="1" applyAlignment="1">
      <alignment horizontal="center" wrapText="1"/>
    </xf>
    <xf numFmtId="0" fontId="4" fillId="5" borderId="37" xfId="0" applyFont="1" applyFill="1" applyBorder="1"/>
    <xf numFmtId="175" fontId="4" fillId="5" borderId="37" xfId="0" applyNumberFormat="1" applyFont="1" applyFill="1" applyBorder="1"/>
    <xf numFmtId="9" fontId="4" fillId="5" borderId="37" xfId="1" applyFont="1" applyFill="1" applyBorder="1"/>
    <xf numFmtId="173" fontId="4" fillId="5" borderId="3" xfId="0" applyNumberFormat="1" applyFont="1" applyFill="1" applyBorder="1"/>
    <xf numFmtId="9" fontId="4" fillId="5" borderId="3" xfId="1" applyFont="1" applyFill="1" applyBorder="1"/>
    <xf numFmtId="0" fontId="4" fillId="5" borderId="76" xfId="0" applyFont="1" applyFill="1" applyBorder="1"/>
    <xf numFmtId="166" fontId="4" fillId="5" borderId="76" xfId="0" applyNumberFormat="1" applyFont="1" applyFill="1" applyBorder="1"/>
    <xf numFmtId="9" fontId="4" fillId="5" borderId="76" xfId="1" applyFont="1" applyFill="1" applyBorder="1"/>
    <xf numFmtId="171" fontId="4" fillId="5" borderId="37" xfId="0" applyNumberFormat="1" applyFont="1" applyFill="1" applyBorder="1"/>
    <xf numFmtId="0" fontId="46" fillId="5" borderId="0" xfId="126" applyFill="1" applyAlignment="1" applyProtection="1"/>
    <xf numFmtId="0" fontId="82" fillId="5" borderId="0" xfId="167" applyAlignment="1">
      <alignment vertical="center"/>
    </xf>
    <xf numFmtId="0" fontId="67" fillId="5" borderId="4" xfId="0" applyFont="1" applyFill="1" applyBorder="1" applyAlignment="1">
      <alignment vertical="center" wrapText="1"/>
    </xf>
    <xf numFmtId="172" fontId="4" fillId="5" borderId="4" xfId="3" applyNumberFormat="1" applyFont="1" applyFill="1" applyBorder="1"/>
    <xf numFmtId="0" fontId="0" fillId="0" borderId="0" xfId="0" applyNumberFormat="1"/>
    <xf numFmtId="164" fontId="0" fillId="0" borderId="0" xfId="2" applyFont="1"/>
    <xf numFmtId="0" fontId="0" fillId="64" borderId="0" xfId="0" applyFill="1" applyAlignment="1">
      <alignment vertical="center" wrapText="1"/>
    </xf>
    <xf numFmtId="0" fontId="0" fillId="0" borderId="0" xfId="0" applyAlignment="1">
      <alignment vertical="center" wrapText="1"/>
    </xf>
    <xf numFmtId="172" fontId="0" fillId="64" borderId="0" xfId="3" applyNumberFormat="1" applyFont="1" applyFill="1" applyAlignment="1">
      <alignment vertical="center" wrapText="1"/>
    </xf>
    <xf numFmtId="171" fontId="0" fillId="64" borderId="0" xfId="2" applyNumberFormat="1" applyFont="1" applyFill="1" applyAlignment="1">
      <alignment vertical="center" wrapText="1"/>
    </xf>
    <xf numFmtId="171" fontId="0" fillId="0" borderId="0" xfId="2" applyNumberFormat="1" applyFont="1" applyAlignment="1">
      <alignment vertical="center" wrapText="1"/>
    </xf>
    <xf numFmtId="0" fontId="0" fillId="0" borderId="0" xfId="0" applyAlignment="1">
      <alignment vertical="center"/>
    </xf>
    <xf numFmtId="172" fontId="0" fillId="0" borderId="0" xfId="3" applyNumberFormat="1" applyFont="1" applyAlignment="1">
      <alignment horizontal="center" vertical="center"/>
    </xf>
    <xf numFmtId="171" fontId="0" fillId="0" borderId="0" xfId="2" applyNumberFormat="1" applyFont="1" applyAlignment="1">
      <alignment vertical="center"/>
    </xf>
    <xf numFmtId="172" fontId="0" fillId="0" borderId="0" xfId="3" applyNumberFormat="1" applyFont="1" applyAlignment="1">
      <alignment vertical="center"/>
    </xf>
    <xf numFmtId="164" fontId="0" fillId="0" borderId="0" xfId="2" applyFont="1" applyAlignment="1">
      <alignment vertical="center"/>
    </xf>
    <xf numFmtId="0" fontId="63" fillId="5" borderId="4" xfId="0" applyFont="1" applyFill="1" applyBorder="1" applyAlignment="1">
      <alignment horizontal="center" vertical="center" wrapText="1"/>
    </xf>
    <xf numFmtId="0" fontId="63" fillId="5" borderId="7" xfId="0" applyFont="1" applyFill="1" applyBorder="1" applyAlignment="1">
      <alignment vertical="center" wrapText="1"/>
    </xf>
    <xf numFmtId="0" fontId="4" fillId="0" borderId="4" xfId="0" applyFont="1" applyFill="1" applyBorder="1" applyAlignment="1">
      <alignment wrapText="1"/>
    </xf>
    <xf numFmtId="165" fontId="4" fillId="6" borderId="4" xfId="3" applyFont="1" applyFill="1" applyBorder="1"/>
    <xf numFmtId="1" fontId="4" fillId="6" borderId="0" xfId="0" applyNumberFormat="1" applyFont="1" applyFill="1"/>
    <xf numFmtId="175" fontId="4" fillId="6" borderId="0" xfId="2" applyNumberFormat="1" applyFont="1" applyFill="1"/>
    <xf numFmtId="9" fontId="4" fillId="6" borderId="0" xfId="1" applyFont="1" applyFill="1"/>
    <xf numFmtId="175" fontId="4" fillId="6" borderId="4" xfId="2" applyNumberFormat="1" applyFont="1" applyFill="1" applyBorder="1" applyAlignment="1">
      <alignment horizontal="center"/>
    </xf>
    <xf numFmtId="9" fontId="4" fillId="6" borderId="4" xfId="0" applyNumberFormat="1" applyFont="1" applyFill="1" applyBorder="1"/>
    <xf numFmtId="167" fontId="67" fillId="5" borderId="0" xfId="1" applyNumberFormat="1" applyFont="1" applyFill="1" applyAlignment="1">
      <alignment vertical="center"/>
    </xf>
    <xf numFmtId="1" fontId="67" fillId="5" borderId="0" xfId="0" applyNumberFormat="1" applyFont="1" applyFill="1"/>
    <xf numFmtId="167" fontId="67" fillId="5" borderId="0" xfId="1" applyNumberFormat="1" applyFont="1" applyFill="1" applyAlignment="1">
      <alignment horizontal="center"/>
    </xf>
    <xf numFmtId="0" fontId="0" fillId="0" borderId="0" xfId="0" applyFill="1"/>
    <xf numFmtId="0" fontId="4" fillId="5" borderId="0" xfId="0" applyFont="1" applyFill="1"/>
    <xf numFmtId="0" fontId="4" fillId="5" borderId="7" xfId="0" applyFont="1" applyFill="1" applyBorder="1" applyAlignment="1">
      <alignment vertical="center"/>
    </xf>
    <xf numFmtId="0" fontId="4" fillId="5" borderId="0" xfId="0" applyFont="1" applyFill="1"/>
    <xf numFmtId="0" fontId="4" fillId="5" borderId="0" xfId="0" applyFont="1" applyFill="1" applyAlignment="1">
      <alignment wrapText="1"/>
    </xf>
    <xf numFmtId="0" fontId="4" fillId="5" borderId="4" xfId="0" applyFont="1" applyFill="1" applyBorder="1"/>
    <xf numFmtId="0" fontId="4" fillId="5" borderId="11" xfId="0" applyFont="1" applyFill="1" applyBorder="1" applyAlignment="1">
      <alignment horizontal="center"/>
    </xf>
    <xf numFmtId="0" fontId="63" fillId="5" borderId="0" xfId="0" applyFont="1" applyFill="1" applyAlignment="1">
      <alignment vertical="center" wrapText="1"/>
    </xf>
    <xf numFmtId="0" fontId="4" fillId="5" borderId="0" xfId="0" applyFont="1" applyFill="1"/>
    <xf numFmtId="0" fontId="4" fillId="5" borderId="0" xfId="0" applyFont="1" applyFill="1" applyAlignment="1">
      <alignment wrapText="1"/>
    </xf>
    <xf numFmtId="0" fontId="4" fillId="5" borderId="0" xfId="0" applyFont="1" applyFill="1" applyAlignment="1">
      <alignment vertical="center"/>
    </xf>
    <xf numFmtId="0" fontId="4" fillId="5" borderId="0" xfId="0" applyFont="1" applyFill="1" applyAlignment="1">
      <alignment vertical="center" wrapText="1"/>
    </xf>
    <xf numFmtId="0" fontId="4" fillId="5" borderId="0" xfId="0" applyFont="1" applyFill="1" applyBorder="1" applyAlignment="1">
      <alignment vertical="center"/>
    </xf>
    <xf numFmtId="0" fontId="4" fillId="5" borderId="4" xfId="0" applyFont="1" applyFill="1" applyBorder="1" applyAlignment="1">
      <alignment horizontal="left" vertical="center" wrapText="1"/>
    </xf>
    <xf numFmtId="0" fontId="4" fillId="0" borderId="7" xfId="0" applyFont="1" applyFill="1" applyBorder="1" applyAlignment="1">
      <alignment vertical="center" wrapText="1"/>
    </xf>
    <xf numFmtId="0" fontId="64" fillId="5" borderId="0" xfId="0" applyFont="1" applyFill="1"/>
    <xf numFmtId="171" fontId="4" fillId="5" borderId="7" xfId="2" applyNumberFormat="1" applyFont="1" applyFill="1" applyBorder="1"/>
    <xf numFmtId="171" fontId="4" fillId="5" borderId="11" xfId="2" applyNumberFormat="1" applyFont="1" applyFill="1" applyBorder="1" applyAlignment="1">
      <alignment horizontal="center"/>
    </xf>
    <xf numFmtId="171" fontId="4" fillId="5" borderId="8" xfId="2" applyNumberFormat="1" applyFont="1" applyFill="1" applyBorder="1"/>
    <xf numFmtId="175" fontId="4" fillId="5" borderId="7" xfId="2" applyNumberFormat="1" applyFont="1" applyFill="1" applyBorder="1"/>
    <xf numFmtId="175" fontId="4" fillId="5" borderId="11" xfId="2" applyNumberFormat="1" applyFont="1" applyFill="1" applyBorder="1" applyAlignment="1">
      <alignment horizontal="center"/>
    </xf>
    <xf numFmtId="175" fontId="4" fillId="5" borderId="8" xfId="2" applyNumberFormat="1" applyFont="1" applyFill="1" applyBorder="1"/>
    <xf numFmtId="165" fontId="4" fillId="7" borderId="0" xfId="3" applyFont="1" applyFill="1"/>
    <xf numFmtId="165" fontId="4" fillId="7" borderId="0" xfId="0" applyNumberFormat="1" applyFont="1" applyFill="1"/>
    <xf numFmtId="171" fontId="4" fillId="7" borderId="0" xfId="2" applyNumberFormat="1" applyFont="1" applyFill="1"/>
    <xf numFmtId="171" fontId="0" fillId="0" borderId="0" xfId="2" applyNumberFormat="1" applyFont="1" applyAlignment="1">
      <alignment wrapText="1"/>
    </xf>
    <xf numFmtId="172" fontId="0" fillId="0" borderId="0" xfId="3" applyNumberFormat="1" applyFont="1" applyAlignment="1">
      <alignment wrapText="1"/>
    </xf>
    <xf numFmtId="164" fontId="0" fillId="0" borderId="0" xfId="2" applyFont="1" applyAlignment="1">
      <alignment wrapText="1"/>
    </xf>
    <xf numFmtId="0" fontId="0" fillId="0" borderId="0" xfId="0" applyFill="1" applyAlignment="1">
      <alignment vertical="center" wrapText="1"/>
    </xf>
    <xf numFmtId="172" fontId="0" fillId="64" borderId="0" xfId="3" applyNumberFormat="1" applyFont="1" applyFill="1" applyAlignment="1">
      <alignment horizontal="center" vertical="center" wrapText="1"/>
    </xf>
    <xf numFmtId="175" fontId="0" fillId="0" borderId="0" xfId="2" applyNumberFormat="1" applyFont="1" applyFill="1" applyAlignment="1">
      <alignment vertical="center" wrapText="1"/>
    </xf>
    <xf numFmtId="164" fontId="0" fillId="0" borderId="0" xfId="2" applyFont="1" applyFill="1" applyAlignment="1">
      <alignment vertical="center" wrapText="1"/>
    </xf>
    <xf numFmtId="172" fontId="0" fillId="0" borderId="0" xfId="3" applyNumberFormat="1" applyFont="1" applyFill="1" applyAlignment="1">
      <alignment vertical="center" wrapText="1"/>
    </xf>
    <xf numFmtId="171" fontId="0" fillId="0" borderId="0" xfId="2" applyNumberFormat="1" applyFont="1" applyFill="1" applyAlignment="1">
      <alignment vertical="center" wrapText="1"/>
    </xf>
    <xf numFmtId="171" fontId="0" fillId="0" borderId="0" xfId="2" applyNumberFormat="1" applyFont="1" applyFill="1" applyAlignment="1">
      <alignment vertical="center"/>
    </xf>
    <xf numFmtId="0" fontId="20" fillId="0" borderId="0" xfId="0" applyFont="1"/>
    <xf numFmtId="0" fontId="71" fillId="0" borderId="82" xfId="0" applyFont="1" applyBorder="1"/>
    <xf numFmtId="172" fontId="71" fillId="0" borderId="82" xfId="3" applyNumberFormat="1" applyFont="1" applyBorder="1" applyAlignment="1">
      <alignment horizontal="center"/>
    </xf>
    <xf numFmtId="171" fontId="71" fillId="0" borderId="82" xfId="2" applyNumberFormat="1" applyFont="1" applyBorder="1"/>
    <xf numFmtId="0" fontId="0" fillId="0" borderId="82" xfId="0" applyBorder="1" applyAlignment="1">
      <alignment wrapText="1"/>
    </xf>
    <xf numFmtId="172" fontId="0" fillId="0" borderId="82" xfId="3" applyNumberFormat="1" applyFont="1" applyBorder="1" applyAlignment="1">
      <alignment horizontal="center" wrapText="1"/>
    </xf>
    <xf numFmtId="171" fontId="0" fillId="0" borderId="82" xfId="2" applyNumberFormat="1" applyFont="1" applyBorder="1" applyAlignment="1">
      <alignment wrapText="1"/>
    </xf>
    <xf numFmtId="0" fontId="0" fillId="0" borderId="82" xfId="0" applyBorder="1"/>
    <xf numFmtId="172" fontId="0" fillId="0" borderId="82" xfId="0" applyNumberFormat="1" applyBorder="1"/>
    <xf numFmtId="172" fontId="0" fillId="0" borderId="82" xfId="3" applyNumberFormat="1" applyFont="1" applyBorder="1" applyAlignment="1">
      <alignment horizontal="center"/>
    </xf>
    <xf numFmtId="175" fontId="0" fillId="0" borderId="82" xfId="2" applyNumberFormat="1" applyFont="1" applyBorder="1"/>
    <xf numFmtId="0" fontId="4" fillId="5" borderId="4" xfId="0" applyFont="1" applyFill="1" applyBorder="1"/>
    <xf numFmtId="0" fontId="4" fillId="5" borderId="4" xfId="0" applyFont="1" applyFill="1" applyBorder="1" applyAlignment="1">
      <alignment wrapText="1"/>
    </xf>
    <xf numFmtId="0" fontId="60" fillId="5" borderId="0" xfId="0" applyFont="1" applyFill="1"/>
    <xf numFmtId="0" fontId="60" fillId="0" borderId="0" xfId="0" applyFont="1" applyFill="1"/>
    <xf numFmtId="166" fontId="60" fillId="0" borderId="0" xfId="2" applyNumberFormat="1" applyFont="1" applyFill="1" applyAlignment="1">
      <alignment vertical="center"/>
    </xf>
    <xf numFmtId="0" fontId="60" fillId="5" borderId="0" xfId="0" applyFont="1" applyFill="1" applyAlignment="1">
      <alignment vertical="center"/>
    </xf>
    <xf numFmtId="0" fontId="4" fillId="6" borderId="7" xfId="0" applyFont="1" applyFill="1" applyBorder="1"/>
    <xf numFmtId="0" fontId="4" fillId="6" borderId="11" xfId="0" applyFont="1" applyFill="1" applyBorder="1"/>
    <xf numFmtId="0" fontId="4" fillId="5" borderId="82" xfId="0" applyFont="1" applyFill="1" applyBorder="1"/>
    <xf numFmtId="0" fontId="4" fillId="7" borderId="82" xfId="0" applyFont="1" applyFill="1" applyBorder="1"/>
    <xf numFmtId="0" fontId="4" fillId="6" borderId="4" xfId="0" quotePrefix="1" applyFont="1" applyFill="1" applyBorder="1" applyAlignment="1">
      <alignment horizontal="center"/>
    </xf>
    <xf numFmtId="171" fontId="4" fillId="6" borderId="4" xfId="2" applyNumberFormat="1" applyFont="1" applyFill="1" applyBorder="1"/>
    <xf numFmtId="172" fontId="62" fillId="6" borderId="4" xfId="3" applyNumberFormat="1" applyFont="1" applyFill="1" applyBorder="1"/>
    <xf numFmtId="164" fontId="4" fillId="6" borderId="4" xfId="2" applyNumberFormat="1" applyFont="1" applyFill="1" applyBorder="1"/>
    <xf numFmtId="0" fontId="4" fillId="6" borderId="2" xfId="0" applyFont="1" applyFill="1" applyBorder="1"/>
    <xf numFmtId="172" fontId="62" fillId="5" borderId="82" xfId="0" applyNumberFormat="1" applyFont="1" applyFill="1" applyBorder="1"/>
    <xf numFmtId="0" fontId="4" fillId="5" borderId="82" xfId="0" applyFont="1" applyFill="1" applyBorder="1" applyAlignment="1">
      <alignment wrapText="1"/>
    </xf>
    <xf numFmtId="0" fontId="4" fillId="0" borderId="4" xfId="0" applyFont="1" applyFill="1" applyBorder="1" applyAlignment="1">
      <alignment horizontal="center" vertical="center"/>
    </xf>
    <xf numFmtId="0" fontId="4" fillId="5" borderId="83" xfId="0" applyFont="1" applyFill="1" applyBorder="1" applyAlignment="1">
      <alignment wrapText="1"/>
    </xf>
    <xf numFmtId="0" fontId="4" fillId="5" borderId="83" xfId="0" applyFont="1" applyFill="1" applyBorder="1" applyAlignment="1">
      <alignment vertical="center"/>
    </xf>
    <xf numFmtId="0" fontId="63" fillId="5" borderId="0" xfId="0" applyFont="1" applyFill="1" applyAlignment="1">
      <alignment vertical="center" wrapText="1"/>
    </xf>
    <xf numFmtId="0" fontId="75" fillId="5" borderId="0" xfId="0" applyFont="1" applyFill="1"/>
    <xf numFmtId="0" fontId="4" fillId="0" borderId="83" xfId="0" applyFont="1" applyFill="1" applyBorder="1" applyAlignment="1">
      <alignment vertical="center" wrapText="1"/>
    </xf>
    <xf numFmtId="0" fontId="4" fillId="5" borderId="83" xfId="0" applyFont="1" applyFill="1" applyBorder="1" applyAlignment="1">
      <alignment vertical="center" wrapText="1"/>
    </xf>
    <xf numFmtId="0" fontId="4" fillId="5" borderId="7" xfId="0" applyFont="1" applyFill="1" applyBorder="1" applyAlignment="1">
      <alignment vertical="center" wrapText="1"/>
    </xf>
    <xf numFmtId="0" fontId="4" fillId="5" borderId="7" xfId="0" applyFont="1" applyFill="1" applyBorder="1"/>
    <xf numFmtId="0" fontId="4" fillId="5" borderId="41" xfId="0" applyFont="1" applyFill="1" applyBorder="1"/>
    <xf numFmtId="0" fontId="63" fillId="5" borderId="0" xfId="0" applyFont="1" applyFill="1" applyAlignment="1">
      <alignment vertical="center" wrapText="1"/>
    </xf>
    <xf numFmtId="0" fontId="63" fillId="5" borderId="7" xfId="0" applyFont="1" applyFill="1" applyBorder="1" applyAlignment="1">
      <alignment vertical="center"/>
    </xf>
    <xf numFmtId="0" fontId="63" fillId="5" borderId="7" xfId="0" applyFont="1" applyFill="1" applyBorder="1" applyAlignment="1">
      <alignment horizontal="center" vertical="center" wrapText="1"/>
    </xf>
    <xf numFmtId="180" fontId="63" fillId="5" borderId="7" xfId="3" applyNumberFormat="1" applyFont="1" applyFill="1" applyBorder="1" applyAlignment="1">
      <alignment vertical="center" wrapText="1"/>
    </xf>
    <xf numFmtId="180" fontId="63" fillId="5" borderId="4" xfId="3" applyNumberFormat="1" applyFont="1" applyFill="1" applyBorder="1" applyAlignment="1">
      <alignment vertical="center" wrapText="1"/>
    </xf>
    <xf numFmtId="0" fontId="4" fillId="5" borderId="6" xfId="0" applyFont="1" applyFill="1" applyBorder="1"/>
    <xf numFmtId="0" fontId="7" fillId="5" borderId="79" xfId="0" applyFont="1" applyFill="1" applyBorder="1"/>
    <xf numFmtId="0" fontId="4" fillId="5" borderId="84" xfId="0" applyFont="1" applyFill="1" applyBorder="1" applyAlignment="1">
      <alignment wrapText="1"/>
    </xf>
    <xf numFmtId="0" fontId="4" fillId="5" borderId="83" xfId="0" applyFont="1" applyFill="1" applyBorder="1"/>
    <xf numFmtId="0" fontId="4" fillId="5" borderId="84" xfId="0" applyFont="1" applyFill="1" applyBorder="1" applyAlignment="1">
      <alignment vertical="center"/>
    </xf>
    <xf numFmtId="0" fontId="4" fillId="5" borderId="84" xfId="0" applyFont="1" applyFill="1" applyBorder="1" applyAlignment="1">
      <alignment vertical="center" wrapText="1"/>
    </xf>
    <xf numFmtId="0" fontId="4" fillId="5" borderId="5" xfId="0" applyFont="1" applyFill="1" applyBorder="1" applyAlignment="1">
      <alignment vertical="center"/>
    </xf>
    <xf numFmtId="171" fontId="4" fillId="5" borderId="83" xfId="0" applyNumberFormat="1" applyFont="1" applyFill="1" applyBorder="1"/>
    <xf numFmtId="9" fontId="4" fillId="5" borderId="83" xfId="1" applyFont="1" applyFill="1" applyBorder="1"/>
    <xf numFmtId="175" fontId="4" fillId="5" borderId="83" xfId="0" applyNumberFormat="1" applyFont="1" applyFill="1" applyBorder="1"/>
    <xf numFmtId="171" fontId="4" fillId="5" borderId="84" xfId="0" applyNumberFormat="1" applyFont="1" applyFill="1" applyBorder="1"/>
    <xf numFmtId="9" fontId="4" fillId="5" borderId="84" xfId="1" applyFont="1" applyFill="1" applyBorder="1"/>
    <xf numFmtId="0" fontId="4" fillId="5" borderId="84" xfId="0" applyFont="1" applyFill="1" applyBorder="1"/>
    <xf numFmtId="0" fontId="7" fillId="5" borderId="5" xfId="0" applyFont="1" applyFill="1" applyBorder="1"/>
    <xf numFmtId="177" fontId="4" fillId="7" borderId="77" xfId="0" applyNumberFormat="1" applyFont="1" applyFill="1" applyBorder="1"/>
    <xf numFmtId="177" fontId="4" fillId="7" borderId="72" xfId="0" applyNumberFormat="1" applyFont="1" applyFill="1" applyBorder="1"/>
    <xf numFmtId="176" fontId="4" fillId="7" borderId="86" xfId="0" applyNumberFormat="1" applyFont="1" applyFill="1" applyBorder="1"/>
    <xf numFmtId="176" fontId="4" fillId="7" borderId="77" xfId="0" applyNumberFormat="1" applyFont="1" applyFill="1" applyBorder="1"/>
    <xf numFmtId="177" fontId="4" fillId="7" borderId="70" xfId="0" applyNumberFormat="1" applyFont="1" applyFill="1" applyBorder="1"/>
    <xf numFmtId="176" fontId="4" fillId="7" borderId="70" xfId="0" applyNumberFormat="1" applyFont="1" applyFill="1" applyBorder="1"/>
    <xf numFmtId="178" fontId="4" fillId="7" borderId="72" xfId="0" applyNumberFormat="1" applyFont="1" applyFill="1" applyBorder="1"/>
    <xf numFmtId="173" fontId="4" fillId="5" borderId="83" xfId="0" applyNumberFormat="1" applyFont="1" applyFill="1" applyBorder="1"/>
    <xf numFmtId="173" fontId="4" fillId="5" borderId="37" xfId="0" applyNumberFormat="1" applyFont="1" applyFill="1" applyBorder="1"/>
    <xf numFmtId="179" fontId="4" fillId="7" borderId="74" xfId="0" applyNumberFormat="1" applyFont="1" applyFill="1" applyBorder="1"/>
    <xf numFmtId="179" fontId="4" fillId="7" borderId="70" xfId="0" applyNumberFormat="1" applyFont="1" applyFill="1" applyBorder="1"/>
    <xf numFmtId="0" fontId="63" fillId="5" borderId="4" xfId="0" applyFont="1" applyFill="1" applyBorder="1" applyAlignment="1" applyProtection="1">
      <alignment horizontal="center" vertical="center"/>
      <protection locked="0"/>
    </xf>
    <xf numFmtId="0" fontId="46" fillId="3" borderId="4" xfId="126" applyFill="1" applyBorder="1" applyAlignment="1" applyProtection="1"/>
    <xf numFmtId="0" fontId="46" fillId="3" borderId="0" xfId="126" applyFill="1" applyAlignment="1" applyProtection="1"/>
    <xf numFmtId="0" fontId="46" fillId="0" borderId="0" xfId="126" applyAlignment="1" applyProtection="1"/>
    <xf numFmtId="0" fontId="61" fillId="5" borderId="0" xfId="126" applyFont="1" applyFill="1" applyAlignment="1" applyProtection="1">
      <alignment horizontal="left" vertical="top"/>
      <protection locked="0"/>
    </xf>
    <xf numFmtId="0" fontId="63" fillId="5" borderId="0" xfId="0" applyFont="1" applyFill="1" applyAlignment="1">
      <alignment vertical="center" wrapText="1"/>
    </xf>
    <xf numFmtId="0" fontId="4" fillId="6" borderId="83" xfId="0" applyFont="1" applyFill="1" applyBorder="1" applyAlignment="1">
      <alignment wrapText="1"/>
    </xf>
    <xf numFmtId="9" fontId="4" fillId="5" borderId="4" xfId="1" applyFont="1" applyFill="1" applyBorder="1" applyAlignment="1">
      <alignment horizontal="center"/>
    </xf>
    <xf numFmtId="0" fontId="4" fillId="5" borderId="0" xfId="0" quotePrefix="1" applyFont="1" applyFill="1"/>
    <xf numFmtId="0" fontId="66" fillId="5" borderId="0" xfId="0" applyFont="1" applyFill="1"/>
    <xf numFmtId="2" fontId="66" fillId="5" borderId="0" xfId="0" applyNumberFormat="1" applyFont="1" applyFill="1"/>
    <xf numFmtId="0" fontId="4" fillId="6" borderId="83" xfId="0" applyFont="1" applyFill="1" applyBorder="1"/>
    <xf numFmtId="171" fontId="4" fillId="6" borderId="0" xfId="2" applyNumberFormat="1" applyFont="1" applyFill="1"/>
    <xf numFmtId="164" fontId="4" fillId="5" borderId="0" xfId="0" applyNumberFormat="1" applyFont="1" applyFill="1"/>
    <xf numFmtId="0" fontId="60" fillId="5" borderId="84" xfId="0" applyFont="1" applyFill="1" applyBorder="1" applyAlignment="1">
      <alignment wrapText="1"/>
    </xf>
    <xf numFmtId="0" fontId="2" fillId="3" borderId="43" xfId="44" applyFont="1" applyFill="1" applyBorder="1" applyAlignment="1">
      <alignment horizontal="right" vertical="center" wrapText="1"/>
    </xf>
    <xf numFmtId="0" fontId="4" fillId="5" borderId="4" xfId="0" applyFont="1" applyFill="1" applyBorder="1" applyAlignment="1">
      <alignment wrapText="1"/>
    </xf>
    <xf numFmtId="0" fontId="4" fillId="5" borderId="83" xfId="0" applyFont="1" applyFill="1" applyBorder="1" applyAlignment="1">
      <alignment textRotation="45" wrapText="1"/>
    </xf>
    <xf numFmtId="164" fontId="4" fillId="5" borderId="0" xfId="0" applyNumberFormat="1" applyFont="1" applyFill="1"/>
    <xf numFmtId="164" fontId="4" fillId="5" borderId="0" xfId="2" applyFont="1" applyFill="1"/>
    <xf numFmtId="164" fontId="4" fillId="5" borderId="83" xfId="2" applyFont="1" applyFill="1" applyBorder="1"/>
    <xf numFmtId="164" fontId="4" fillId="66" borderId="83" xfId="2" applyFont="1" applyFill="1" applyBorder="1"/>
    <xf numFmtId="0" fontId="4" fillId="5" borderId="5" xfId="0" applyFont="1" applyFill="1" applyBorder="1"/>
    <xf numFmtId="164" fontId="4" fillId="5" borderId="0" xfId="0" applyNumberFormat="1" applyFont="1" applyFill="1"/>
    <xf numFmtId="0" fontId="4" fillId="6" borderId="0" xfId="0" applyFont="1" applyFill="1" applyBorder="1"/>
    <xf numFmtId="0" fontId="4" fillId="5" borderId="43" xfId="0" applyFont="1" applyFill="1" applyBorder="1"/>
    <xf numFmtId="164" fontId="4" fillId="61" borderId="0" xfId="0" applyNumberFormat="1" applyFont="1" applyFill="1"/>
    <xf numFmtId="164" fontId="4" fillId="61" borderId="0" xfId="2" applyFont="1" applyFill="1"/>
    <xf numFmtId="167" fontId="4" fillId="5" borderId="68" xfId="1" applyNumberFormat="1" applyFont="1" applyFill="1" applyBorder="1"/>
    <xf numFmtId="167" fontId="4" fillId="5" borderId="0" xfId="1" applyNumberFormat="1" applyFont="1" applyFill="1" applyBorder="1"/>
    <xf numFmtId="167" fontId="4" fillId="5" borderId="10" xfId="1" applyNumberFormat="1" applyFont="1" applyFill="1" applyBorder="1"/>
    <xf numFmtId="167" fontId="7" fillId="5" borderId="0" xfId="1" applyNumberFormat="1" applyFont="1" applyFill="1" applyBorder="1"/>
    <xf numFmtId="167" fontId="7" fillId="5" borderId="68" xfId="1" applyNumberFormat="1" applyFont="1" applyFill="1" applyBorder="1"/>
    <xf numFmtId="167" fontId="8" fillId="5" borderId="0" xfId="1" applyNumberFormat="1" applyFont="1" applyFill="1" applyBorder="1"/>
    <xf numFmtId="167" fontId="7" fillId="5" borderId="10" xfId="1" applyNumberFormat="1" applyFont="1" applyFill="1" applyBorder="1"/>
    <xf numFmtId="0" fontId="78" fillId="5" borderId="87" xfId="4" applyFont="1" applyFill="1" applyBorder="1"/>
    <xf numFmtId="0" fontId="80" fillId="5" borderId="87" xfId="4" applyFont="1" applyFill="1" applyAlignment="1"/>
    <xf numFmtId="166" fontId="81" fillId="69" borderId="83" xfId="12" applyNumberFormat="1" applyProtection="1">
      <protection locked="0"/>
    </xf>
    <xf numFmtId="0" fontId="72" fillId="5" borderId="88" xfId="0" applyFont="1" applyFill="1" applyBorder="1" applyAlignment="1">
      <alignment vertical="center"/>
    </xf>
    <xf numFmtId="181" fontId="4" fillId="68" borderId="83" xfId="168" applyNumberFormat="1" applyProtection="1">
      <protection locked="0"/>
    </xf>
    <xf numFmtId="0" fontId="83" fillId="5" borderId="0" xfId="0" applyFont="1" applyFill="1"/>
    <xf numFmtId="0" fontId="83" fillId="5" borderId="0" xfId="0" applyFont="1" applyFill="1" applyAlignment="1">
      <alignment wrapText="1"/>
    </xf>
    <xf numFmtId="0" fontId="84" fillId="5" borderId="87" xfId="4" applyFont="1" applyFill="1" applyAlignment="1"/>
    <xf numFmtId="0" fontId="85" fillId="5" borderId="0" xfId="0" applyFont="1" applyFill="1" applyAlignment="1">
      <alignment horizontal="left" vertical="center" wrapText="1"/>
    </xf>
    <xf numFmtId="0" fontId="86" fillId="5" borderId="87" xfId="4" applyFont="1" applyFill="1" applyBorder="1"/>
    <xf numFmtId="0" fontId="85" fillId="5" borderId="88" xfId="0" applyFont="1" applyFill="1" applyBorder="1" applyAlignment="1">
      <alignment vertical="center"/>
    </xf>
    <xf numFmtId="0" fontId="83" fillId="5" borderId="0" xfId="0" applyFont="1" applyFill="1" applyAlignment="1">
      <alignment vertical="top"/>
    </xf>
    <xf numFmtId="0" fontId="87" fillId="5" borderId="0" xfId="0" applyFont="1" applyFill="1"/>
    <xf numFmtId="0" fontId="88" fillId="5" borderId="0" xfId="0" applyFont="1" applyFill="1"/>
    <xf numFmtId="0" fontId="89" fillId="5" borderId="0" xfId="167" applyFont="1"/>
    <xf numFmtId="0" fontId="90" fillId="69" borderId="83" xfId="12" applyFont="1" applyAlignment="1"/>
    <xf numFmtId="0" fontId="87" fillId="68" borderId="83" xfId="168" applyFont="1" applyAlignment="1"/>
    <xf numFmtId="0" fontId="91" fillId="5" borderId="0" xfId="0" applyFont="1" applyFill="1"/>
    <xf numFmtId="0" fontId="4" fillId="67" borderId="0" xfId="0" applyFont="1" applyFill="1" applyProtection="1"/>
    <xf numFmtId="0" fontId="4" fillId="5" borderId="0" xfId="0" applyFont="1" applyFill="1" applyProtection="1"/>
    <xf numFmtId="0" fontId="79" fillId="5" borderId="87" xfId="5" applyFill="1" applyProtection="1"/>
    <xf numFmtId="0" fontId="82" fillId="5" borderId="0" xfId="167" applyProtection="1"/>
    <xf numFmtId="0" fontId="65" fillId="5" borderId="0" xfId="0" applyFont="1" applyFill="1" applyProtection="1"/>
    <xf numFmtId="0" fontId="64" fillId="5" borderId="0" xfId="0" applyFont="1" applyFill="1" applyProtection="1"/>
    <xf numFmtId="0" fontId="4" fillId="5" borderId="0" xfId="0" applyFont="1" applyFill="1" applyBorder="1" applyProtection="1"/>
    <xf numFmtId="0" fontId="64" fillId="5" borderId="88" xfId="0" applyFont="1" applyFill="1" applyBorder="1" applyAlignment="1" applyProtection="1"/>
    <xf numFmtId="0" fontId="82" fillId="5" borderId="0" xfId="167" applyAlignment="1" applyProtection="1"/>
    <xf numFmtId="0" fontId="65" fillId="5" borderId="0" xfId="0" applyFont="1" applyFill="1" applyAlignment="1" applyProtection="1">
      <alignment horizontal="left" wrapText="1"/>
    </xf>
    <xf numFmtId="0" fontId="64" fillId="5" borderId="0" xfId="0" applyFont="1" applyFill="1" applyBorder="1" applyAlignment="1" applyProtection="1"/>
    <xf numFmtId="0" fontId="82" fillId="5" borderId="0" xfId="167" applyAlignment="1" applyProtection="1">
      <alignment vertical="top"/>
    </xf>
    <xf numFmtId="0" fontId="64" fillId="5" borderId="0" xfId="0" applyFont="1" applyFill="1" applyAlignment="1" applyProtection="1">
      <alignment horizontal="left" wrapText="1"/>
    </xf>
    <xf numFmtId="0" fontId="4" fillId="5" borderId="0" xfId="0" applyFont="1" applyFill="1" applyAlignment="1" applyProtection="1">
      <alignment wrapText="1"/>
    </xf>
    <xf numFmtId="0" fontId="4" fillId="5" borderId="0" xfId="0" applyFont="1" applyFill="1" applyBorder="1" applyAlignment="1" applyProtection="1">
      <alignment horizontal="center" vertical="center"/>
    </xf>
    <xf numFmtId="0" fontId="4" fillId="5" borderId="0"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4" fillId="5" borderId="7" xfId="0" applyFont="1" applyFill="1" applyBorder="1" applyAlignment="1" applyProtection="1"/>
    <xf numFmtId="0" fontId="4" fillId="5" borderId="4" xfId="0" applyFont="1" applyFill="1" applyBorder="1" applyProtection="1"/>
    <xf numFmtId="165" fontId="4" fillId="5" borderId="2" xfId="3" applyFont="1" applyFill="1" applyBorder="1" applyProtection="1"/>
    <xf numFmtId="165" fontId="4" fillId="5" borderId="4" xfId="3" applyFont="1" applyFill="1" applyBorder="1" applyProtection="1"/>
    <xf numFmtId="165" fontId="4" fillId="0" borderId="4" xfId="3" applyFont="1" applyFill="1" applyBorder="1" applyProtection="1"/>
    <xf numFmtId="172" fontId="4" fillId="0" borderId="4" xfId="3" applyNumberFormat="1" applyFont="1" applyFill="1" applyBorder="1" applyProtection="1"/>
    <xf numFmtId="165" fontId="4" fillId="0" borderId="83" xfId="3" applyFont="1" applyFill="1" applyBorder="1" applyProtection="1"/>
    <xf numFmtId="0" fontId="4" fillId="5" borderId="7" xfId="0" applyFont="1" applyFill="1" applyBorder="1" applyAlignment="1" applyProtection="1">
      <alignment shrinkToFit="1"/>
    </xf>
    <xf numFmtId="165" fontId="4" fillId="5" borderId="83" xfId="3" applyFont="1" applyFill="1" applyBorder="1" applyProtection="1"/>
    <xf numFmtId="0" fontId="74" fillId="5" borderId="0" xfId="0" applyFont="1" applyFill="1"/>
    <xf numFmtId="0" fontId="80" fillId="5" borderId="0" xfId="4" applyFont="1" applyFill="1" applyBorder="1" applyAlignment="1">
      <alignment horizontal="centerContinuous"/>
    </xf>
    <xf numFmtId="0" fontId="78" fillId="5" borderId="0" xfId="4" applyFill="1" applyBorder="1" applyAlignment="1">
      <alignment horizontal="centerContinuous"/>
    </xf>
    <xf numFmtId="0" fontId="80" fillId="67" borderId="0" xfId="4" applyFont="1" applyFill="1" applyBorder="1" applyAlignment="1" applyProtection="1">
      <alignment horizontal="centerContinuous"/>
    </xf>
    <xf numFmtId="0" fontId="4" fillId="61" borderId="0" xfId="0" applyFont="1" applyFill="1" applyProtection="1"/>
    <xf numFmtId="0" fontId="79" fillId="61" borderId="87" xfId="5" applyFill="1" applyProtection="1"/>
    <xf numFmtId="0" fontId="64" fillId="61" borderId="0" xfId="0" applyFont="1" applyFill="1" applyProtection="1"/>
    <xf numFmtId="0" fontId="64" fillId="61" borderId="0" xfId="0" applyFont="1" applyFill="1" applyAlignment="1" applyProtection="1">
      <alignment horizontal="left"/>
    </xf>
    <xf numFmtId="0" fontId="61" fillId="5" borderId="0" xfId="126" applyFont="1" applyFill="1" applyAlignment="1" applyProtection="1">
      <alignment horizontal="left" vertical="top"/>
      <protection locked="0"/>
    </xf>
    <xf numFmtId="0" fontId="63" fillId="5" borderId="0" xfId="0" applyFont="1" applyFill="1" applyAlignment="1">
      <alignment vertical="center" wrapText="1"/>
    </xf>
    <xf numFmtId="166" fontId="4" fillId="7" borderId="0" xfId="2" applyNumberFormat="1" applyFont="1" applyFill="1"/>
    <xf numFmtId="0" fontId="76" fillId="5" borderId="0" xfId="0" applyFont="1" applyFill="1" applyAlignment="1" applyProtection="1">
      <alignment horizontal="right" indent="1"/>
    </xf>
    <xf numFmtId="183" fontId="76" fillId="5" borderId="0" xfId="0" applyNumberFormat="1" applyFont="1" applyFill="1" applyAlignment="1" applyProtection="1">
      <alignment vertical="center"/>
    </xf>
    <xf numFmtId="182" fontId="76" fillId="5" borderId="0" xfId="0" applyNumberFormat="1" applyFont="1" applyFill="1" applyAlignment="1" applyProtection="1">
      <alignment vertical="center"/>
    </xf>
    <xf numFmtId="0" fontId="77" fillId="5" borderId="0" xfId="0" applyFont="1" applyFill="1" applyAlignment="1" applyProtection="1">
      <alignment horizontal="right" indent="1"/>
    </xf>
    <xf numFmtId="183" fontId="77" fillId="5" borderId="0" xfId="0" applyNumberFormat="1" applyFont="1" applyFill="1" applyAlignment="1" applyProtection="1">
      <alignment vertical="center"/>
    </xf>
    <xf numFmtId="184" fontId="76" fillId="5" borderId="0" xfId="0" applyNumberFormat="1" applyFont="1" applyFill="1" applyAlignment="1" applyProtection="1">
      <alignment vertical="center"/>
    </xf>
    <xf numFmtId="0" fontId="4" fillId="5" borderId="0" xfId="0" applyFont="1" applyFill="1" applyAlignment="1" applyProtection="1">
      <alignment horizontal="left"/>
    </xf>
    <xf numFmtId="0" fontId="4" fillId="5" borderId="4" xfId="0" applyFont="1" applyFill="1" applyBorder="1" applyAlignment="1">
      <alignment wrapText="1"/>
    </xf>
    <xf numFmtId="167" fontId="7" fillId="5" borderId="0" xfId="1" applyNumberFormat="1" applyFont="1" applyFill="1"/>
    <xf numFmtId="167" fontId="4" fillId="5" borderId="0" xfId="1" applyNumberFormat="1" applyFont="1" applyFill="1"/>
    <xf numFmtId="167" fontId="67" fillId="5" borderId="0" xfId="1" applyNumberFormat="1" applyFont="1" applyFill="1"/>
    <xf numFmtId="167" fontId="4" fillId="5" borderId="0" xfId="1" applyNumberFormat="1" applyFont="1" applyFill="1" applyAlignment="1">
      <alignment vertical="center"/>
    </xf>
    <xf numFmtId="0" fontId="74" fillId="5" borderId="82" xfId="0" applyFont="1" applyFill="1" applyBorder="1"/>
    <xf numFmtId="0" fontId="74" fillId="5" borderId="0" xfId="0" applyFont="1" applyFill="1" applyBorder="1"/>
    <xf numFmtId="0" fontId="74" fillId="5" borderId="82" xfId="101" applyFont="1" applyFill="1" applyBorder="1"/>
    <xf numFmtId="0" fontId="74" fillId="5" borderId="82" xfId="0" applyFont="1" applyFill="1" applyBorder="1" applyAlignment="1">
      <alignment wrapText="1"/>
    </xf>
    <xf numFmtId="164" fontId="4" fillId="5" borderId="4" xfId="2" applyFont="1" applyFill="1" applyBorder="1"/>
    <xf numFmtId="0" fontId="46" fillId="5" borderId="4" xfId="126" applyFill="1" applyBorder="1" applyAlignment="1" applyProtection="1"/>
    <xf numFmtId="172" fontId="4" fillId="6" borderId="4" xfId="3" applyNumberFormat="1" applyFont="1" applyFill="1" applyBorder="1"/>
    <xf numFmtId="0" fontId="4" fillId="5" borderId="4" xfId="0" applyFont="1" applyFill="1" applyBorder="1" applyAlignment="1">
      <alignment wrapText="1"/>
    </xf>
    <xf numFmtId="165" fontId="4" fillId="5" borderId="0" xfId="0" applyNumberFormat="1" applyFont="1" applyFill="1"/>
    <xf numFmtId="164" fontId="4" fillId="7" borderId="0" xfId="2" applyFont="1" applyFill="1"/>
    <xf numFmtId="176" fontId="76" fillId="5" borderId="89" xfId="2" applyNumberFormat="1" applyFont="1" applyFill="1" applyBorder="1" applyAlignment="1" applyProtection="1">
      <alignment vertical="center"/>
    </xf>
    <xf numFmtId="186" fontId="76" fillId="5" borderId="89" xfId="0" applyNumberFormat="1" applyFont="1" applyFill="1" applyBorder="1" applyAlignment="1" applyProtection="1">
      <alignment vertical="center"/>
    </xf>
    <xf numFmtId="186" fontId="77" fillId="5" borderId="89" xfId="0" applyNumberFormat="1" applyFont="1" applyFill="1" applyBorder="1" applyAlignment="1" applyProtection="1">
      <alignment vertical="center"/>
    </xf>
    <xf numFmtId="49" fontId="66" fillId="65" borderId="0" xfId="2" applyNumberFormat="1" applyFont="1" applyFill="1" applyBorder="1" applyAlignment="1" applyProtection="1"/>
    <xf numFmtId="165" fontId="66" fillId="5" borderId="4" xfId="3" applyFont="1" applyFill="1" applyBorder="1" applyProtection="1"/>
    <xf numFmtId="0" fontId="66" fillId="5" borderId="83" xfId="0" applyFont="1" applyFill="1" applyBorder="1" applyProtection="1"/>
    <xf numFmtId="172" fontId="66" fillId="5" borderId="4" xfId="3" applyNumberFormat="1" applyFont="1" applyFill="1" applyBorder="1" applyProtection="1"/>
    <xf numFmtId="0" fontId="88" fillId="5" borderId="83" xfId="0" applyFont="1" applyFill="1" applyBorder="1"/>
    <xf numFmtId="0" fontId="4" fillId="5" borderId="4" xfId="0" applyFont="1" applyFill="1" applyBorder="1" applyAlignment="1">
      <alignment wrapText="1"/>
    </xf>
    <xf numFmtId="0" fontId="4" fillId="5" borderId="7" xfId="0" applyFont="1" applyFill="1" applyBorder="1" applyAlignment="1">
      <alignment wrapText="1"/>
    </xf>
    <xf numFmtId="0" fontId="4" fillId="5" borderId="11" xfId="0" applyFont="1" applyFill="1" applyBorder="1" applyAlignment="1">
      <alignment wrapText="1"/>
    </xf>
    <xf numFmtId="0" fontId="4" fillId="5" borderId="8" xfId="0" applyFont="1" applyFill="1" applyBorder="1" applyAlignment="1">
      <alignment wrapText="1"/>
    </xf>
    <xf numFmtId="0" fontId="4" fillId="5" borderId="84" xfId="0" applyFont="1" applyFill="1" applyBorder="1" applyAlignment="1" applyProtection="1">
      <alignment vertical="center"/>
    </xf>
    <xf numFmtId="165" fontId="4" fillId="5" borderId="2" xfId="3" applyFont="1" applyFill="1" applyBorder="1" applyAlignment="1" applyProtection="1">
      <alignment vertical="center"/>
    </xf>
    <xf numFmtId="0" fontId="4" fillId="5" borderId="3" xfId="0" applyFont="1" applyFill="1" applyBorder="1" applyAlignment="1" applyProtection="1">
      <alignment vertical="center"/>
    </xf>
    <xf numFmtId="0" fontId="4" fillId="5" borderId="3" xfId="0" applyFont="1" applyFill="1" applyBorder="1" applyAlignment="1" applyProtection="1"/>
    <xf numFmtId="166" fontId="4" fillId="5" borderId="3" xfId="12" applyNumberFormat="1" applyFont="1" applyFill="1" applyBorder="1" applyAlignment="1" applyProtection="1">
      <alignment vertical="center"/>
    </xf>
    <xf numFmtId="0" fontId="20" fillId="0" borderId="83" xfId="0" applyFont="1" applyBorder="1"/>
    <xf numFmtId="0" fontId="20" fillId="0" borderId="83" xfId="0" applyFont="1" applyBorder="1" applyAlignment="1">
      <alignment horizontal="center"/>
    </xf>
    <xf numFmtId="0" fontId="0" fillId="0" borderId="0" xfId="0" applyFont="1"/>
    <xf numFmtId="0" fontId="0" fillId="0" borderId="83" xfId="0" applyFont="1" applyBorder="1"/>
    <xf numFmtId="0" fontId="0" fillId="0" borderId="83" xfId="0" quotePrefix="1" applyFont="1" applyBorder="1" applyAlignment="1">
      <alignment horizontal="center"/>
    </xf>
    <xf numFmtId="9" fontId="0" fillId="0" borderId="83" xfId="0" applyNumberFormat="1" applyFont="1" applyBorder="1" applyAlignment="1">
      <alignment horizontal="center"/>
    </xf>
    <xf numFmtId="0" fontId="0" fillId="0" borderId="83" xfId="0" applyFont="1" applyBorder="1" applyAlignment="1">
      <alignment horizontal="center"/>
    </xf>
    <xf numFmtId="3" fontId="0" fillId="0" borderId="83" xfId="0" quotePrefix="1" applyNumberFormat="1" applyFont="1" applyBorder="1" applyAlignment="1">
      <alignment horizontal="center"/>
    </xf>
    <xf numFmtId="0" fontId="0" fillId="0" borderId="83" xfId="0" quotePrefix="1" applyBorder="1" applyAlignment="1">
      <alignment horizontal="center"/>
    </xf>
    <xf numFmtId="3" fontId="0" fillId="0" borderId="83" xfId="0" applyNumberFormat="1" applyFont="1" applyBorder="1" applyAlignment="1">
      <alignment horizontal="center"/>
    </xf>
    <xf numFmtId="0" fontId="66" fillId="5" borderId="84" xfId="0" applyFont="1" applyFill="1" applyBorder="1" applyAlignment="1" applyProtection="1">
      <alignment horizontal="center" vertical="center" wrapText="1"/>
    </xf>
    <xf numFmtId="0" fontId="4" fillId="5" borderId="8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7" xfId="0" applyFont="1" applyFill="1" applyBorder="1" applyAlignment="1" applyProtection="1">
      <alignment horizontal="center" vertical="center" wrapText="1"/>
    </xf>
    <xf numFmtId="0" fontId="66" fillId="5" borderId="84" xfId="0" applyFont="1" applyFill="1" applyBorder="1" applyAlignment="1" applyProtection="1">
      <alignment horizontal="center" vertical="center"/>
    </xf>
    <xf numFmtId="0" fontId="4" fillId="5" borderId="4" xfId="0" applyFont="1" applyFill="1" applyBorder="1" applyAlignment="1">
      <alignment wrapText="1"/>
    </xf>
    <xf numFmtId="185" fontId="66" fillId="5" borderId="4" xfId="2" applyNumberFormat="1" applyFont="1" applyFill="1" applyBorder="1" applyAlignment="1" applyProtection="1">
      <alignment horizontal="right"/>
    </xf>
    <xf numFmtId="0" fontId="4" fillId="5" borderId="0" xfId="0" applyFont="1" applyFill="1" applyBorder="1"/>
    <xf numFmtId="165" fontId="4" fillId="5" borderId="0" xfId="3" applyFont="1" applyFill="1" applyBorder="1"/>
    <xf numFmtId="172" fontId="4" fillId="5" borderId="0" xfId="0" applyNumberFormat="1" applyFont="1" applyFill="1"/>
    <xf numFmtId="1" fontId="4" fillId="5" borderId="4" xfId="0" applyNumberFormat="1" applyFont="1" applyFill="1" applyBorder="1"/>
    <xf numFmtId="165" fontId="4" fillId="5" borderId="0" xfId="0" applyNumberFormat="1" applyFont="1" applyFill="1"/>
    <xf numFmtId="0" fontId="81" fillId="69" borderId="83" xfId="12" applyAlignment="1" applyProtection="1">
      <alignment horizontal="center"/>
      <protection locked="0"/>
    </xf>
    <xf numFmtId="166" fontId="4" fillId="5" borderId="0" xfId="0" applyNumberFormat="1" applyFont="1" applyFill="1" applyProtection="1"/>
    <xf numFmtId="164" fontId="4" fillId="5" borderId="0" xfId="0" applyNumberFormat="1" applyFont="1" applyFill="1" applyProtection="1"/>
    <xf numFmtId="165" fontId="4" fillId="5" borderId="4" xfId="3" applyNumberFormat="1" applyFont="1" applyFill="1" applyBorder="1"/>
    <xf numFmtId="166" fontId="4" fillId="68" borderId="83" xfId="168" applyNumberFormat="1" applyProtection="1">
      <protection locked="0"/>
    </xf>
    <xf numFmtId="0" fontId="93" fillId="68" borderId="83" xfId="0" applyFont="1" applyFill="1" applyBorder="1" applyAlignment="1" applyProtection="1">
      <alignment vertical="center" wrapText="1"/>
      <protection locked="0"/>
    </xf>
    <xf numFmtId="9" fontId="4" fillId="68" borderId="83" xfId="1" applyFont="1" applyFill="1" applyBorder="1" applyAlignment="1" applyProtection="1">
      <alignment horizontal="center"/>
    </xf>
    <xf numFmtId="9" fontId="4" fillId="3" borderId="4" xfId="1" applyFont="1" applyFill="1" applyBorder="1"/>
    <xf numFmtId="0" fontId="0" fillId="0" borderId="83" xfId="0" applyBorder="1"/>
    <xf numFmtId="9" fontId="0" fillId="0" borderId="83" xfId="0" applyNumberFormat="1" applyBorder="1"/>
    <xf numFmtId="164" fontId="4" fillId="5" borderId="0" xfId="0" applyNumberFormat="1" applyFont="1" applyFill="1"/>
    <xf numFmtId="2" fontId="4" fillId="5" borderId="0" xfId="0" applyNumberFormat="1" applyFont="1" applyFill="1"/>
    <xf numFmtId="9" fontId="4" fillId="3" borderId="0" xfId="1" applyFont="1" applyFill="1"/>
    <xf numFmtId="9" fontId="4" fillId="5" borderId="0" xfId="1" applyNumberFormat="1" applyFont="1" applyFill="1"/>
    <xf numFmtId="0" fontId="4" fillId="5" borderId="0" xfId="167" applyFont="1" applyProtection="1"/>
    <xf numFmtId="0" fontId="62" fillId="61" borderId="0" xfId="0" applyFont="1" applyFill="1" applyProtection="1"/>
    <xf numFmtId="0" fontId="94" fillId="61" borderId="89" xfId="0" applyFont="1" applyFill="1" applyBorder="1" applyAlignment="1" applyProtection="1">
      <alignment horizontal="center" wrapText="1"/>
    </xf>
    <xf numFmtId="0" fontId="94" fillId="61" borderId="89" xfId="0" applyFont="1" applyFill="1" applyBorder="1" applyAlignment="1" applyProtection="1">
      <alignment horizontal="center"/>
    </xf>
    <xf numFmtId="187" fontId="94" fillId="61" borderId="89" xfId="2" applyNumberFormat="1" applyFont="1" applyFill="1" applyBorder="1" applyAlignment="1" applyProtection="1">
      <alignment horizontal="right" vertical="center"/>
    </xf>
    <xf numFmtId="188" fontId="94" fillId="61" borderId="89" xfId="2" applyNumberFormat="1" applyFont="1" applyFill="1" applyBorder="1" applyAlignment="1" applyProtection="1">
      <alignment horizontal="right" vertical="center"/>
    </xf>
    <xf numFmtId="189" fontId="94" fillId="61" borderId="89" xfId="2" applyNumberFormat="1" applyFont="1" applyFill="1" applyBorder="1" applyAlignment="1" applyProtection="1">
      <alignment horizontal="right" vertical="center"/>
    </xf>
    <xf numFmtId="191" fontId="94" fillId="61" borderId="89" xfId="0" applyNumberFormat="1" applyFont="1" applyFill="1" applyBorder="1" applyAlignment="1" applyProtection="1">
      <alignment horizontal="right" vertical="center" indent="1"/>
    </xf>
    <xf numFmtId="0" fontId="4" fillId="5" borderId="0" xfId="0" applyFont="1" applyFill="1" applyAlignment="1" applyProtection="1">
      <alignment horizontal="center"/>
    </xf>
    <xf numFmtId="166" fontId="81" fillId="69" borderId="83" xfId="12" applyNumberFormat="1" applyAlignment="1" applyProtection="1">
      <alignment horizontal="center"/>
      <protection locked="0"/>
    </xf>
    <xf numFmtId="192" fontId="81" fillId="69" borderId="83" xfId="12" applyNumberFormat="1" applyAlignment="1" applyProtection="1">
      <alignment horizontal="center"/>
      <protection locked="0"/>
    </xf>
    <xf numFmtId="3" fontId="4" fillId="5" borderId="27" xfId="2" applyNumberFormat="1" applyFont="1" applyFill="1" applyBorder="1" applyAlignment="1" applyProtection="1">
      <alignment horizontal="center"/>
    </xf>
    <xf numFmtId="3" fontId="81" fillId="69" borderId="83" xfId="12" applyNumberFormat="1" applyAlignment="1" applyProtection="1">
      <alignment horizontal="center"/>
      <protection locked="0"/>
    </xf>
    <xf numFmtId="3" fontId="4" fillId="5" borderId="42" xfId="2" applyNumberFormat="1" applyFont="1" applyFill="1" applyBorder="1" applyAlignment="1" applyProtection="1">
      <alignment horizontal="center"/>
    </xf>
    <xf numFmtId="3" fontId="4" fillId="5" borderId="0" xfId="2" applyNumberFormat="1" applyFont="1" applyFill="1" applyAlignment="1" applyProtection="1">
      <alignment horizontal="center"/>
    </xf>
    <xf numFmtId="0" fontId="95" fillId="0" borderId="0" xfId="126" applyFont="1" applyAlignment="1" applyProtection="1"/>
    <xf numFmtId="0" fontId="74" fillId="5" borderId="83" xfId="0" applyFont="1" applyFill="1" applyBorder="1" applyAlignment="1">
      <alignment wrapText="1"/>
    </xf>
    <xf numFmtId="0" fontId="4" fillId="0" borderId="83" xfId="0" applyFont="1" applyFill="1" applyBorder="1" applyAlignment="1">
      <alignment horizontal="center" vertical="center"/>
    </xf>
    <xf numFmtId="9" fontId="4" fillId="5" borderId="83" xfId="1" applyFont="1" applyFill="1" applyBorder="1" applyAlignment="1">
      <alignment horizontal="center"/>
    </xf>
    <xf numFmtId="193" fontId="4" fillId="5" borderId="83" xfId="1" applyNumberFormat="1" applyFont="1" applyFill="1" applyBorder="1" applyAlignment="1">
      <alignment horizontal="center"/>
    </xf>
    <xf numFmtId="0" fontId="4" fillId="0" borderId="0" xfId="0" applyFont="1" applyFill="1" applyBorder="1" applyAlignment="1">
      <alignment horizontal="center" vertical="center"/>
    </xf>
    <xf numFmtId="0" fontId="46" fillId="3" borderId="83" xfId="126" applyFill="1" applyBorder="1" applyAlignment="1" applyProtection="1"/>
    <xf numFmtId="0" fontId="4" fillId="63" borderId="0" xfId="0" applyFont="1" applyFill="1"/>
    <xf numFmtId="0" fontId="61" fillId="5" borderId="0" xfId="126" applyFont="1" applyFill="1" applyAlignment="1" applyProtection="1">
      <alignment horizontal="left" vertical="top"/>
      <protection locked="0"/>
    </xf>
    <xf numFmtId="0" fontId="63" fillId="5" borderId="0" xfId="0" applyFont="1" applyFill="1" applyAlignment="1">
      <alignment vertical="center" wrapText="1"/>
    </xf>
    <xf numFmtId="0" fontId="4" fillId="5" borderId="4" xfId="0" applyFont="1" applyFill="1" applyBorder="1" applyAlignment="1">
      <alignment horizontal="center" wrapText="1"/>
    </xf>
    <xf numFmtId="0" fontId="4" fillId="5" borderId="4" xfId="0" applyFont="1" applyFill="1" applyBorder="1" applyAlignment="1">
      <alignment horizontal="center" vertical="center" wrapText="1"/>
    </xf>
    <xf numFmtId="0" fontId="4" fillId="5" borderId="4" xfId="0" applyFont="1" applyFill="1" applyBorder="1" applyAlignment="1">
      <alignment wrapText="1"/>
    </xf>
    <xf numFmtId="3" fontId="4" fillId="5" borderId="83" xfId="3" applyNumberFormat="1" applyFont="1" applyFill="1" applyBorder="1"/>
    <xf numFmtId="3" fontId="4" fillId="5" borderId="83" xfId="0" applyNumberFormat="1" applyFont="1" applyFill="1" applyBorder="1"/>
    <xf numFmtId="0" fontId="4" fillId="3" borderId="83" xfId="0" applyFont="1" applyFill="1" applyBorder="1"/>
    <xf numFmtId="3" fontId="4" fillId="5" borderId="0" xfId="0" applyNumberFormat="1" applyFont="1" applyFill="1"/>
    <xf numFmtId="172" fontId="4" fillId="5" borderId="4" xfId="0" applyNumberFormat="1" applyFont="1" applyFill="1" applyBorder="1" applyAlignment="1">
      <alignment horizontal="center" wrapText="1"/>
    </xf>
    <xf numFmtId="0" fontId="46" fillId="0" borderId="0" xfId="126" applyAlignment="1" applyProtection="1">
      <alignment wrapText="1"/>
    </xf>
    <xf numFmtId="0" fontId="4" fillId="3" borderId="0" xfId="0" applyFont="1" applyFill="1" applyAlignment="1"/>
    <xf numFmtId="0" fontId="4" fillId="3" borderId="4" xfId="0" applyFont="1" applyFill="1" applyBorder="1" applyAlignment="1">
      <alignment horizontal="center" vertical="center"/>
    </xf>
    <xf numFmtId="3" fontId="82" fillId="5" borderId="0" xfId="167" applyNumberFormat="1" applyAlignment="1">
      <alignment vertical="center"/>
    </xf>
    <xf numFmtId="3" fontId="4" fillId="5" borderId="0" xfId="0" applyNumberFormat="1" applyFont="1" applyFill="1" applyAlignment="1">
      <alignment wrapText="1"/>
    </xf>
    <xf numFmtId="3" fontId="4" fillId="5" borderId="0" xfId="0" applyNumberFormat="1" applyFont="1" applyFill="1" applyBorder="1" applyAlignment="1">
      <alignment horizontal="center" wrapText="1"/>
    </xf>
    <xf numFmtId="3" fontId="4" fillId="5" borderId="83" xfId="0" applyNumberFormat="1" applyFont="1" applyFill="1" applyBorder="1" applyAlignment="1">
      <alignment wrapText="1"/>
    </xf>
    <xf numFmtId="3" fontId="4" fillId="5" borderId="83" xfId="0" applyNumberFormat="1" applyFont="1" applyFill="1" applyBorder="1" applyAlignment="1">
      <alignment horizontal="center" wrapText="1"/>
    </xf>
    <xf numFmtId="3" fontId="4" fillId="6" borderId="83" xfId="2" applyNumberFormat="1" applyFont="1" applyFill="1" applyBorder="1"/>
    <xf numFmtId="0" fontId="63" fillId="5" borderId="83" xfId="0" applyFont="1" applyFill="1" applyBorder="1" applyAlignment="1">
      <alignment horizontal="center" vertical="center" wrapText="1"/>
    </xf>
    <xf numFmtId="0" fontId="12" fillId="5" borderId="0" xfId="10" applyFill="1" applyProtection="1"/>
    <xf numFmtId="0" fontId="4" fillId="5" borderId="0" xfId="0" applyFont="1" applyFill="1" applyAlignment="1"/>
    <xf numFmtId="3" fontId="63" fillId="5" borderId="83" xfId="0" applyNumberFormat="1" applyFont="1" applyFill="1" applyBorder="1" applyAlignment="1">
      <alignment horizontal="center" vertical="center" wrapText="1"/>
    </xf>
    <xf numFmtId="0" fontId="66" fillId="61" borderId="83" xfId="0" applyFont="1" applyFill="1" applyBorder="1" applyAlignment="1" applyProtection="1">
      <alignment horizontal="center"/>
    </xf>
    <xf numFmtId="0" fontId="4" fillId="5" borderId="7" xfId="0" applyFont="1" applyFill="1" applyBorder="1" applyAlignment="1" applyProtection="1">
      <alignment vertical="center"/>
    </xf>
    <xf numFmtId="166" fontId="81" fillId="69" borderId="83" xfId="12" applyNumberFormat="1" applyAlignment="1" applyProtection="1">
      <alignment horizontal="center" vertical="center" wrapText="1"/>
      <protection locked="0"/>
    </xf>
    <xf numFmtId="0" fontId="63" fillId="5" borderId="0" xfId="0" applyFont="1" applyFill="1" applyAlignment="1">
      <alignment vertical="top" wrapText="1"/>
    </xf>
    <xf numFmtId="194" fontId="66" fillId="61" borderId="83" xfId="0" applyNumberFormat="1" applyFont="1" applyFill="1" applyBorder="1" applyAlignment="1" applyProtection="1">
      <alignment horizontal="center"/>
    </xf>
    <xf numFmtId="3" fontId="81" fillId="69" borderId="83" xfId="12" applyNumberFormat="1" applyFont="1" applyAlignment="1" applyProtection="1">
      <alignment horizontal="center"/>
      <protection locked="0"/>
    </xf>
    <xf numFmtId="0" fontId="66" fillId="5" borderId="0" xfId="0" applyFont="1" applyFill="1" applyProtection="1"/>
    <xf numFmtId="0" fontId="75" fillId="5" borderId="0" xfId="0" applyFont="1" applyFill="1" applyAlignment="1">
      <alignment horizontal="left" vertical="top" wrapText="1"/>
    </xf>
    <xf numFmtId="0" fontId="72" fillId="5" borderId="0" xfId="0" applyFont="1" applyFill="1" applyAlignment="1">
      <alignment horizontal="left" vertical="top" wrapText="1"/>
    </xf>
    <xf numFmtId="0" fontId="66" fillId="61" borderId="0" xfId="0" applyFont="1" applyFill="1" applyBorder="1" applyAlignment="1" applyProtection="1">
      <alignment horizontal="center"/>
    </xf>
    <xf numFmtId="0" fontId="66" fillId="61" borderId="83" xfId="0" applyFont="1" applyFill="1" applyBorder="1" applyAlignment="1" applyProtection="1">
      <alignment horizontal="center"/>
    </xf>
    <xf numFmtId="165" fontId="4" fillId="68" borderId="7" xfId="168" applyNumberFormat="1" applyBorder="1" applyProtection="1">
      <protection locked="0"/>
    </xf>
    <xf numFmtId="165" fontId="4" fillId="68" borderId="8" xfId="168" applyNumberFormat="1" applyBorder="1" applyProtection="1">
      <protection locked="0"/>
    </xf>
    <xf numFmtId="185" fontId="4" fillId="5" borderId="7" xfId="0" applyNumberFormat="1" applyFont="1" applyFill="1" applyBorder="1" applyProtection="1"/>
    <xf numFmtId="185" fontId="4" fillId="5" borderId="8" xfId="0" applyNumberFormat="1" applyFont="1" applyFill="1" applyBorder="1" applyProtection="1"/>
    <xf numFmtId="0" fontId="4" fillId="5" borderId="84"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7"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4" fillId="5" borderId="42" xfId="0" applyFont="1" applyFill="1" applyBorder="1" applyAlignment="1" applyProtection="1">
      <alignment horizontal="center" vertical="center" wrapText="1"/>
    </xf>
    <xf numFmtId="0" fontId="66" fillId="5" borderId="84" xfId="0" applyFont="1" applyFill="1" applyBorder="1" applyAlignment="1" applyProtection="1">
      <alignment horizontal="center" vertical="center" wrapText="1"/>
    </xf>
    <xf numFmtId="0" fontId="66" fillId="5" borderId="3" xfId="0" applyFont="1" applyFill="1" applyBorder="1" applyAlignment="1" applyProtection="1">
      <alignment horizontal="center" vertical="center" wrapText="1"/>
    </xf>
    <xf numFmtId="165" fontId="4" fillId="68" borderId="5" xfId="168" applyNumberFormat="1" applyBorder="1" applyAlignment="1" applyProtection="1">
      <alignment vertical="center"/>
      <protection locked="0"/>
    </xf>
    <xf numFmtId="165" fontId="4" fillId="68" borderId="67" xfId="168" applyNumberFormat="1" applyBorder="1" applyAlignment="1" applyProtection="1">
      <alignment vertical="center"/>
      <protection locked="0"/>
    </xf>
    <xf numFmtId="165" fontId="4" fillId="68" borderId="43" xfId="168" applyNumberFormat="1" applyBorder="1" applyAlignment="1" applyProtection="1">
      <alignment vertical="center"/>
      <protection locked="0"/>
    </xf>
    <xf numFmtId="165" fontId="4" fillId="68" borderId="27" xfId="168" applyNumberFormat="1" applyBorder="1" applyAlignment="1" applyProtection="1">
      <alignment vertical="center"/>
      <protection locked="0"/>
    </xf>
    <xf numFmtId="165" fontId="4" fillId="68" borderId="6" xfId="168" applyNumberFormat="1" applyBorder="1" applyAlignment="1" applyProtection="1">
      <alignment vertical="center"/>
      <protection locked="0"/>
    </xf>
    <xf numFmtId="165" fontId="4" fillId="68" borderId="42" xfId="168" applyNumberFormat="1" applyBorder="1" applyAlignment="1" applyProtection="1">
      <alignment vertical="center"/>
      <protection locked="0"/>
    </xf>
    <xf numFmtId="165" fontId="4" fillId="5" borderId="84" xfId="3" applyFont="1" applyFill="1" applyBorder="1" applyAlignment="1" applyProtection="1">
      <alignment vertical="center"/>
    </xf>
    <xf numFmtId="165" fontId="4" fillId="5" borderId="2" xfId="3" applyFont="1" applyFill="1" applyBorder="1" applyAlignment="1" applyProtection="1">
      <alignment vertical="center"/>
    </xf>
    <xf numFmtId="165" fontId="4" fillId="5" borderId="3" xfId="3" applyFont="1" applyFill="1" applyBorder="1" applyAlignment="1" applyProtection="1">
      <alignment vertical="center"/>
    </xf>
    <xf numFmtId="165" fontId="66" fillId="5" borderId="84" xfId="3" applyFont="1" applyFill="1" applyBorder="1" applyAlignment="1" applyProtection="1">
      <alignment vertical="center"/>
    </xf>
    <xf numFmtId="165" fontId="66" fillId="5" borderId="2" xfId="3" applyFont="1" applyFill="1" applyBorder="1" applyAlignment="1" applyProtection="1">
      <alignment vertical="center"/>
    </xf>
    <xf numFmtId="165" fontId="66" fillId="5" borderId="3" xfId="3" applyFont="1" applyFill="1" applyBorder="1" applyAlignment="1" applyProtection="1">
      <alignment vertical="center"/>
    </xf>
    <xf numFmtId="166" fontId="81" fillId="69" borderId="83" xfId="12" applyNumberFormat="1" applyAlignment="1" applyProtection="1">
      <alignment horizontal="center"/>
      <protection locked="0"/>
    </xf>
    <xf numFmtId="0" fontId="66" fillId="5" borderId="84" xfId="0" applyFont="1" applyFill="1" applyBorder="1" applyAlignment="1" applyProtection="1">
      <alignment vertical="center"/>
    </xf>
    <xf numFmtId="0" fontId="66" fillId="5" borderId="2" xfId="0" applyFont="1" applyFill="1" applyBorder="1" applyAlignment="1" applyProtection="1">
      <alignment vertical="center"/>
    </xf>
    <xf numFmtId="0" fontId="66" fillId="5" borderId="3" xfId="0" applyFont="1" applyFill="1" applyBorder="1" applyAlignment="1" applyProtection="1">
      <alignment vertical="center"/>
    </xf>
    <xf numFmtId="0" fontId="4" fillId="5" borderId="68" xfId="0" applyFont="1" applyFill="1" applyBorder="1" applyAlignment="1" applyProtection="1">
      <alignment horizontal="center" vertical="center" wrapText="1"/>
    </xf>
    <xf numFmtId="0" fontId="4" fillId="5" borderId="10" xfId="0" applyFont="1" applyFill="1" applyBorder="1" applyAlignment="1" applyProtection="1">
      <alignment horizontal="center" vertical="center" wrapText="1"/>
    </xf>
    <xf numFmtId="0" fontId="66" fillId="5" borderId="84" xfId="0" applyFont="1" applyFill="1" applyBorder="1" applyAlignment="1" applyProtection="1">
      <alignment horizontal="center" vertical="center"/>
    </xf>
    <xf numFmtId="0" fontId="66" fillId="5" borderId="3" xfId="0" applyFont="1" applyFill="1" applyBorder="1" applyAlignment="1" applyProtection="1">
      <alignment horizontal="center" vertical="center"/>
    </xf>
    <xf numFmtId="0" fontId="61" fillId="61" borderId="0" xfId="126" applyFont="1" applyFill="1" applyAlignment="1" applyProtection="1">
      <alignment horizontal="center" vertical="center" wrapText="1"/>
      <protection locked="0"/>
    </xf>
    <xf numFmtId="0" fontId="94" fillId="61" borderId="91" xfId="0" applyFont="1" applyFill="1" applyBorder="1" applyAlignment="1" applyProtection="1">
      <alignment horizontal="center"/>
    </xf>
    <xf numFmtId="0" fontId="94" fillId="61" borderId="92" xfId="0" applyFont="1" applyFill="1" applyBorder="1" applyAlignment="1" applyProtection="1">
      <alignment horizontal="center"/>
    </xf>
    <xf numFmtId="0" fontId="94" fillId="61" borderId="90" xfId="0" applyFont="1" applyFill="1" applyBorder="1" applyAlignment="1" applyProtection="1">
      <alignment horizontal="center"/>
    </xf>
    <xf numFmtId="184" fontId="94" fillId="61" borderId="91" xfId="0" applyNumberFormat="1" applyFont="1" applyFill="1" applyBorder="1" applyAlignment="1" applyProtection="1">
      <alignment horizontal="center" vertical="center"/>
    </xf>
    <xf numFmtId="184" fontId="94" fillId="61" borderId="92" xfId="0" applyNumberFormat="1" applyFont="1" applyFill="1" applyBorder="1" applyAlignment="1" applyProtection="1">
      <alignment horizontal="center" vertical="center"/>
    </xf>
    <xf numFmtId="184" fontId="94" fillId="61" borderId="90" xfId="0" applyNumberFormat="1" applyFont="1" applyFill="1" applyBorder="1" applyAlignment="1" applyProtection="1">
      <alignment horizontal="center" vertical="center"/>
    </xf>
    <xf numFmtId="0" fontId="64" fillId="61" borderId="0" xfId="0" applyFont="1" applyFill="1" applyAlignment="1" applyProtection="1">
      <alignment horizontal="left" vertical="top" wrapText="1"/>
    </xf>
    <xf numFmtId="0" fontId="64" fillId="61" borderId="0" xfId="0" applyFont="1" applyFill="1" applyAlignment="1" applyProtection="1">
      <alignment horizontal="left" vertical="top"/>
    </xf>
    <xf numFmtId="0" fontId="7" fillId="5" borderId="68" xfId="0" applyFont="1" applyFill="1" applyBorder="1" applyAlignment="1" applyProtection="1">
      <alignment horizontal="left" vertical="center"/>
    </xf>
    <xf numFmtId="0" fontId="7" fillId="5" borderId="0" xfId="0" applyFont="1" applyFill="1" applyBorder="1" applyAlignment="1" applyProtection="1">
      <alignment horizontal="left" vertical="center"/>
    </xf>
    <xf numFmtId="0" fontId="7" fillId="5" borderId="10" xfId="0" applyFont="1" applyFill="1" applyBorder="1" applyAlignment="1" applyProtection="1">
      <alignment horizontal="left" vertical="center"/>
    </xf>
    <xf numFmtId="0" fontId="80" fillId="67" borderId="0" xfId="4" applyFont="1" applyFill="1" applyBorder="1" applyAlignment="1" applyProtection="1">
      <alignment horizontal="center"/>
    </xf>
    <xf numFmtId="0" fontId="4" fillId="5" borderId="68" xfId="0" applyFont="1" applyFill="1" applyBorder="1" applyAlignment="1" applyProtection="1">
      <alignment horizontal="center"/>
    </xf>
    <xf numFmtId="0" fontId="82" fillId="5" borderId="0" xfId="167" applyAlignment="1">
      <alignment horizontal="left" vertical="top" wrapText="1"/>
    </xf>
    <xf numFmtId="0" fontId="94" fillId="61" borderId="91" xfId="0" applyFont="1" applyFill="1" applyBorder="1" applyAlignment="1" applyProtection="1">
      <alignment horizontal="center" vertical="center"/>
    </xf>
    <xf numFmtId="0" fontId="94" fillId="61" borderId="90" xfId="0" applyFont="1" applyFill="1" applyBorder="1" applyAlignment="1" applyProtection="1">
      <alignment horizontal="center" vertical="center"/>
    </xf>
    <xf numFmtId="183" fontId="94" fillId="61" borderId="91" xfId="0" applyNumberFormat="1" applyFont="1" applyFill="1" applyBorder="1" applyAlignment="1" applyProtection="1">
      <alignment horizontal="center" vertical="center"/>
    </xf>
    <xf numFmtId="183" fontId="94" fillId="61" borderId="92" xfId="0" applyNumberFormat="1" applyFont="1" applyFill="1" applyBorder="1" applyAlignment="1" applyProtection="1">
      <alignment horizontal="center" vertical="center"/>
    </xf>
    <xf numFmtId="183" fontId="94" fillId="61" borderId="90" xfId="0" applyNumberFormat="1" applyFont="1" applyFill="1" applyBorder="1" applyAlignment="1" applyProtection="1">
      <alignment horizontal="center" vertical="center"/>
    </xf>
    <xf numFmtId="190" fontId="94" fillId="61" borderId="91" xfId="0" applyNumberFormat="1" applyFont="1" applyFill="1" applyBorder="1" applyAlignment="1" applyProtection="1">
      <alignment horizontal="center" vertical="center"/>
    </xf>
    <xf numFmtId="190" fontId="94" fillId="61" borderId="92" xfId="0" applyNumberFormat="1" applyFont="1" applyFill="1" applyBorder="1" applyAlignment="1" applyProtection="1">
      <alignment horizontal="center" vertical="center"/>
    </xf>
    <xf numFmtId="190" fontId="94" fillId="61" borderId="90" xfId="0" applyNumberFormat="1"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81" fillId="69" borderId="83" xfId="12" applyAlignment="1" applyProtection="1">
      <alignment horizontal="center"/>
      <protection locked="0"/>
    </xf>
    <xf numFmtId="0" fontId="81" fillId="69" borderId="83" xfId="12" applyAlignment="1" applyProtection="1">
      <alignment horizontal="left" vertical="top" wrapText="1"/>
      <protection locked="0"/>
    </xf>
    <xf numFmtId="0" fontId="4" fillId="5" borderId="27" xfId="0" applyFont="1" applyFill="1" applyBorder="1" applyAlignment="1" applyProtection="1">
      <alignment horizontal="left" vertical="center"/>
    </xf>
    <xf numFmtId="0" fontId="4" fillId="5" borderId="84" xfId="0" applyFont="1" applyFill="1" applyBorder="1" applyAlignment="1" applyProtection="1">
      <alignment horizontal="left" wrapText="1"/>
    </xf>
    <xf numFmtId="0" fontId="4" fillId="5" borderId="2" xfId="0" applyFont="1" applyFill="1" applyBorder="1" applyAlignment="1" applyProtection="1">
      <alignment horizontal="left" wrapText="1"/>
    </xf>
    <xf numFmtId="0" fontId="4" fillId="5" borderId="3" xfId="0" applyFont="1" applyFill="1" applyBorder="1" applyAlignment="1" applyProtection="1">
      <alignment horizontal="left" wrapText="1"/>
    </xf>
    <xf numFmtId="166" fontId="81" fillId="69" borderId="84" xfId="12" applyNumberFormat="1" applyBorder="1" applyAlignment="1" applyProtection="1">
      <alignment horizontal="center" vertical="center"/>
      <protection locked="0"/>
    </xf>
    <xf numFmtId="166" fontId="81" fillId="69" borderId="2" xfId="12" applyNumberFormat="1" applyBorder="1" applyAlignment="1" applyProtection="1">
      <alignment horizontal="center" vertical="center"/>
      <protection locked="0"/>
    </xf>
    <xf numFmtId="166" fontId="81" fillId="69" borderId="3" xfId="12" applyNumberFormat="1" applyBorder="1" applyAlignment="1" applyProtection="1">
      <alignment horizontal="center" vertical="center"/>
      <protection locked="0"/>
    </xf>
    <xf numFmtId="0" fontId="4" fillId="5" borderId="84"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 xfId="0" applyFont="1" applyFill="1" applyBorder="1" applyAlignment="1" applyProtection="1">
      <alignment horizontal="left" vertical="center"/>
    </xf>
    <xf numFmtId="0" fontId="4" fillId="5" borderId="5" xfId="0" applyFont="1" applyFill="1" applyBorder="1" applyAlignment="1" applyProtection="1">
      <alignment horizontal="center" vertical="center"/>
    </xf>
    <xf numFmtId="0" fontId="4" fillId="5" borderId="67"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42" xfId="0" applyFont="1" applyFill="1" applyBorder="1" applyAlignment="1" applyProtection="1">
      <alignment horizontal="center" vertical="center"/>
    </xf>
    <xf numFmtId="194" fontId="66" fillId="61" borderId="0" xfId="0" applyNumberFormat="1" applyFont="1" applyFill="1" applyBorder="1" applyAlignment="1" applyProtection="1">
      <alignment horizontal="center"/>
    </xf>
    <xf numFmtId="195" fontId="66" fillId="61" borderId="83" xfId="0" applyNumberFormat="1" applyFont="1" applyFill="1" applyBorder="1" applyAlignment="1" applyProtection="1">
      <alignment horizontal="center"/>
    </xf>
    <xf numFmtId="0" fontId="76" fillId="5" borderId="83" xfId="0" applyFont="1" applyFill="1" applyBorder="1" applyAlignment="1">
      <alignment horizontal="center"/>
    </xf>
    <xf numFmtId="176" fontId="76" fillId="5" borderId="91" xfId="2" applyNumberFormat="1" applyFont="1" applyFill="1" applyBorder="1" applyAlignment="1" applyProtection="1">
      <alignment horizontal="center" vertical="center"/>
    </xf>
    <xf numFmtId="176" fontId="76" fillId="5" borderId="90" xfId="2" applyNumberFormat="1" applyFont="1" applyFill="1" applyBorder="1" applyAlignment="1" applyProtection="1">
      <alignment horizontal="center" vertical="center"/>
    </xf>
    <xf numFmtId="183" fontId="76" fillId="5" borderId="91" xfId="0" applyNumberFormat="1" applyFont="1" applyFill="1" applyBorder="1" applyAlignment="1" applyProtection="1">
      <alignment horizontal="center" vertical="center"/>
    </xf>
    <xf numFmtId="183" fontId="76" fillId="5" borderId="90" xfId="0" applyNumberFormat="1" applyFont="1" applyFill="1" applyBorder="1" applyAlignment="1" applyProtection="1">
      <alignment horizontal="center" vertical="center"/>
    </xf>
    <xf numFmtId="182" fontId="76" fillId="5" borderId="91" xfId="0" applyNumberFormat="1" applyFont="1" applyFill="1" applyBorder="1" applyAlignment="1" applyProtection="1">
      <alignment horizontal="center" vertical="center"/>
    </xf>
    <xf numFmtId="182" fontId="76" fillId="5" borderId="90" xfId="0" applyNumberFormat="1" applyFont="1" applyFill="1" applyBorder="1" applyAlignment="1" applyProtection="1">
      <alignment horizontal="center" vertical="center"/>
    </xf>
    <xf numFmtId="183" fontId="77" fillId="5" borderId="91" xfId="0" applyNumberFormat="1" applyFont="1" applyFill="1" applyBorder="1" applyAlignment="1" applyProtection="1">
      <alignment horizontal="center" vertical="center"/>
    </xf>
    <xf numFmtId="183" fontId="77" fillId="5" borderId="90" xfId="0" applyNumberFormat="1" applyFont="1" applyFill="1" applyBorder="1" applyAlignment="1" applyProtection="1">
      <alignment horizontal="center" vertical="center"/>
    </xf>
    <xf numFmtId="184" fontId="76" fillId="5" borderId="91" xfId="0" applyNumberFormat="1" applyFont="1" applyFill="1" applyBorder="1" applyAlignment="1" applyProtection="1">
      <alignment horizontal="center" vertical="center"/>
    </xf>
    <xf numFmtId="184" fontId="76" fillId="5" borderId="90" xfId="0" applyNumberFormat="1" applyFont="1" applyFill="1" applyBorder="1" applyAlignment="1" applyProtection="1">
      <alignment horizontal="center" vertical="center"/>
    </xf>
    <xf numFmtId="194" fontId="76" fillId="5" borderId="7" xfId="0" applyNumberFormat="1" applyFont="1" applyFill="1" applyBorder="1" applyAlignment="1">
      <alignment horizontal="center"/>
    </xf>
    <xf numFmtId="194" fontId="76" fillId="5" borderId="8" xfId="0" applyNumberFormat="1" applyFont="1" applyFill="1" applyBorder="1" applyAlignment="1">
      <alignment horizontal="center"/>
    </xf>
    <xf numFmtId="195" fontId="76" fillId="5" borderId="7" xfId="0" applyNumberFormat="1" applyFont="1" applyFill="1" applyBorder="1" applyAlignment="1">
      <alignment horizontal="center"/>
    </xf>
    <xf numFmtId="195" fontId="76" fillId="5" borderId="8" xfId="0" applyNumberFormat="1" applyFont="1" applyFill="1" applyBorder="1" applyAlignment="1">
      <alignment horizontal="center"/>
    </xf>
    <xf numFmtId="195" fontId="76" fillId="5" borderId="83" xfId="0" applyNumberFormat="1" applyFont="1" applyFill="1" applyBorder="1" applyAlignment="1">
      <alignment horizontal="center"/>
    </xf>
    <xf numFmtId="0" fontId="61" fillId="5" borderId="0" xfId="126" applyFont="1" applyFill="1" applyAlignment="1" applyProtection="1">
      <alignment horizontal="left" vertical="top"/>
      <protection locked="0"/>
    </xf>
    <xf numFmtId="176" fontId="76" fillId="5" borderId="89" xfId="2" applyNumberFormat="1" applyFont="1" applyFill="1" applyBorder="1" applyAlignment="1" applyProtection="1">
      <alignment horizontal="right" vertical="center" indent="5"/>
    </xf>
    <xf numFmtId="177" fontId="76" fillId="5" borderId="89" xfId="2" applyNumberFormat="1" applyFont="1" applyFill="1" applyBorder="1" applyAlignment="1" applyProtection="1">
      <alignment horizontal="right" vertical="center" indent="5"/>
    </xf>
    <xf numFmtId="176" fontId="77" fillId="5" borderId="89" xfId="2" applyNumberFormat="1" applyFont="1" applyFill="1" applyBorder="1" applyAlignment="1" applyProtection="1">
      <alignment horizontal="right" vertical="center" indent="5"/>
    </xf>
    <xf numFmtId="179" fontId="76" fillId="5" borderId="89" xfId="2" applyNumberFormat="1" applyFont="1" applyFill="1" applyBorder="1" applyAlignment="1" applyProtection="1">
      <alignment horizontal="right" vertical="center" indent="5"/>
    </xf>
    <xf numFmtId="0" fontId="76" fillId="5" borderId="7" xfId="0" applyFont="1" applyFill="1" applyBorder="1" applyAlignment="1">
      <alignment horizontal="center"/>
    </xf>
    <xf numFmtId="0" fontId="76" fillId="5" borderId="8" xfId="0" applyFont="1" applyFill="1" applyBorder="1" applyAlignment="1">
      <alignment horizontal="center"/>
    </xf>
    <xf numFmtId="0" fontId="4" fillId="5" borderId="83" xfId="0" applyFont="1" applyFill="1" applyBorder="1" applyAlignment="1">
      <alignment horizontal="center" wrapText="1"/>
    </xf>
    <xf numFmtId="0" fontId="4" fillId="5" borderId="4" xfId="0" applyFont="1" applyFill="1" applyBorder="1" applyAlignment="1">
      <alignment horizontal="center" wrapText="1"/>
    </xf>
    <xf numFmtId="166" fontId="4" fillId="5" borderId="4" xfId="0" applyNumberFormat="1" applyFont="1" applyFill="1" applyBorder="1" applyAlignment="1">
      <alignment horizontal="center"/>
    </xf>
    <xf numFmtId="0" fontId="4" fillId="5" borderId="4" xfId="0" applyFont="1" applyFill="1" applyBorder="1" applyAlignment="1">
      <alignment horizontal="center"/>
    </xf>
    <xf numFmtId="173" fontId="4" fillId="5" borderId="4" xfId="0" applyNumberFormat="1" applyFont="1" applyFill="1" applyBorder="1" applyAlignment="1">
      <alignment horizontal="center"/>
    </xf>
    <xf numFmtId="171" fontId="4" fillId="5" borderId="4" xfId="0" applyNumberFormat="1" applyFont="1" applyFill="1" applyBorder="1" applyAlignment="1">
      <alignment horizontal="center"/>
    </xf>
    <xf numFmtId="175" fontId="4" fillId="5" borderId="4" xfId="0" applyNumberFormat="1" applyFont="1" applyFill="1" applyBorder="1" applyAlignment="1">
      <alignment horizontal="center"/>
    </xf>
    <xf numFmtId="0" fontId="78" fillId="5" borderId="87" xfId="4" applyFill="1" applyAlignment="1">
      <alignment horizontal="left" wrapText="1"/>
    </xf>
    <xf numFmtId="0" fontId="4" fillId="5" borderId="5" xfId="0" applyFont="1" applyFill="1" applyBorder="1" applyAlignment="1">
      <alignment horizontal="center" vertical="center"/>
    </xf>
    <xf numFmtId="0" fontId="4" fillId="5" borderId="67" xfId="0" applyFont="1" applyFill="1" applyBorder="1" applyAlignment="1">
      <alignment horizontal="center" vertical="center"/>
    </xf>
    <xf numFmtId="0" fontId="4" fillId="5" borderId="75" xfId="0" applyFont="1" applyFill="1" applyBorder="1" applyAlignment="1">
      <alignment horizontal="center" vertical="center" wrapText="1"/>
    </xf>
    <xf numFmtId="0" fontId="4" fillId="5" borderId="69" xfId="0" applyFont="1" applyFill="1" applyBorder="1" applyAlignment="1">
      <alignment horizontal="center" vertical="center" wrapText="1"/>
    </xf>
    <xf numFmtId="0" fontId="4" fillId="5" borderId="85" xfId="0" applyFont="1" applyFill="1" applyBorder="1" applyAlignment="1">
      <alignment horizontal="center" vertical="center" wrapText="1"/>
    </xf>
    <xf numFmtId="0" fontId="4" fillId="5" borderId="71" xfId="0" applyFont="1" applyFill="1" applyBorder="1" applyAlignment="1">
      <alignment horizontal="center" vertical="center" wrapText="1"/>
    </xf>
    <xf numFmtId="0" fontId="4" fillId="5" borderId="73" xfId="0" applyFont="1" applyFill="1" applyBorder="1" applyAlignment="1">
      <alignment horizontal="center" vertical="center" wrapText="1"/>
    </xf>
    <xf numFmtId="0" fontId="4" fillId="5" borderId="41" xfId="0" applyFont="1" applyFill="1" applyBorder="1"/>
    <xf numFmtId="0" fontId="4" fillId="5" borderId="50" xfId="0" applyFont="1" applyFill="1" applyBorder="1"/>
    <xf numFmtId="0" fontId="4" fillId="5" borderId="78" xfId="0" applyFont="1" applyFill="1" applyBorder="1"/>
    <xf numFmtId="0" fontId="4" fillId="5" borderId="7" xfId="0" applyFont="1" applyFill="1" applyBorder="1"/>
    <xf numFmtId="0" fontId="4" fillId="5" borderId="11" xfId="0" applyFont="1" applyFill="1" applyBorder="1"/>
    <xf numFmtId="0" fontId="4" fillId="5" borderId="8" xfId="0" applyFont="1" applyFill="1" applyBorder="1"/>
    <xf numFmtId="0" fontId="4" fillId="5" borderId="5" xfId="0" applyFont="1" applyFill="1" applyBorder="1"/>
    <xf numFmtId="0" fontId="4" fillId="5" borderId="68" xfId="0" applyFont="1" applyFill="1" applyBorder="1"/>
    <xf numFmtId="0" fontId="4" fillId="5" borderId="67" xfId="0" applyFont="1" applyFill="1" applyBorder="1"/>
    <xf numFmtId="0" fontId="4" fillId="5" borderId="79" xfId="0" applyFont="1" applyFill="1" applyBorder="1"/>
    <xf numFmtId="0" fontId="4" fillId="5" borderId="80" xfId="0" applyFont="1" applyFill="1" applyBorder="1"/>
    <xf numFmtId="0" fontId="4" fillId="5" borderId="81" xfId="0" applyFont="1" applyFill="1" applyBorder="1"/>
    <xf numFmtId="0" fontId="4" fillId="5" borderId="6" xfId="0" applyFont="1" applyFill="1" applyBorder="1"/>
    <xf numFmtId="0" fontId="4" fillId="5" borderId="10" xfId="0" applyFont="1" applyFill="1" applyBorder="1"/>
    <xf numFmtId="0" fontId="4" fillId="5" borderId="42" xfId="0" applyFont="1" applyFill="1" applyBorder="1"/>
    <xf numFmtId="0" fontId="4" fillId="5" borderId="84"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84"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0" applyFont="1" applyFill="1" applyBorder="1" applyAlignment="1">
      <alignment horizontal="center" wrapText="1"/>
    </xf>
    <xf numFmtId="0" fontId="4" fillId="5" borderId="3" xfId="0" applyFont="1" applyFill="1" applyBorder="1" applyAlignment="1">
      <alignment horizontal="center" wrapText="1"/>
    </xf>
    <xf numFmtId="0" fontId="4" fillId="5" borderId="5" xfId="0" applyFont="1" applyFill="1" applyBorder="1" applyAlignment="1">
      <alignment horizontal="center" wrapText="1"/>
    </xf>
    <xf numFmtId="0" fontId="4" fillId="5" borderId="9" xfId="0" applyFont="1" applyFill="1" applyBorder="1" applyAlignment="1">
      <alignment horizontal="center" wrapText="1"/>
    </xf>
    <xf numFmtId="0" fontId="4" fillId="5" borderId="67" xfId="0" applyFont="1" applyFill="1" applyBorder="1" applyAlignment="1">
      <alignment horizontal="center" wrapText="1"/>
    </xf>
    <xf numFmtId="0" fontId="4" fillId="5" borderId="6" xfId="0" applyFont="1" applyFill="1" applyBorder="1" applyAlignment="1">
      <alignment horizontal="center" wrapText="1"/>
    </xf>
    <xf numFmtId="0" fontId="4" fillId="5" borderId="10" xfId="0" applyFont="1" applyFill="1" applyBorder="1" applyAlignment="1">
      <alignment horizontal="center" wrapText="1"/>
    </xf>
    <xf numFmtId="0" fontId="4" fillId="5" borderId="42" xfId="0" applyFont="1" applyFill="1" applyBorder="1" applyAlignment="1">
      <alignment horizontal="center" wrapText="1"/>
    </xf>
    <xf numFmtId="0" fontId="4" fillId="5" borderId="4" xfId="0" applyFont="1" applyFill="1" applyBorder="1" applyAlignment="1">
      <alignment wrapText="1"/>
    </xf>
    <xf numFmtId="0" fontId="4" fillId="5" borderId="1" xfId="0" applyFont="1" applyFill="1" applyBorder="1" applyAlignment="1">
      <alignment horizontal="center" vertical="center" textRotation="90"/>
    </xf>
    <xf numFmtId="0" fontId="4" fillId="5" borderId="2" xfId="0" applyFont="1" applyFill="1" applyBorder="1" applyAlignment="1">
      <alignment horizontal="center" vertical="center" textRotation="90"/>
    </xf>
    <xf numFmtId="0" fontId="4" fillId="5" borderId="3" xfId="0" applyFont="1" applyFill="1" applyBorder="1" applyAlignment="1">
      <alignment horizontal="center" vertical="center" textRotation="90"/>
    </xf>
    <xf numFmtId="0" fontId="4" fillId="5" borderId="5" xfId="0" applyFont="1" applyFill="1" applyBorder="1" applyAlignment="1">
      <alignment horizontal="left" vertical="top" wrapText="1"/>
    </xf>
    <xf numFmtId="0" fontId="4" fillId="5" borderId="43" xfId="0" applyFont="1" applyFill="1" applyBorder="1" applyAlignment="1">
      <alignment horizontal="left" vertical="top" wrapText="1"/>
    </xf>
    <xf numFmtId="0" fontId="4" fillId="5" borderId="6" xfId="0" applyFont="1" applyFill="1" applyBorder="1" applyAlignment="1">
      <alignment horizontal="left" vertical="top" wrapText="1"/>
    </xf>
    <xf numFmtId="0" fontId="4" fillId="5" borderId="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0" xfId="0" applyFont="1" applyFill="1" applyAlignment="1">
      <alignment horizontal="left" vertical="top" wrapText="1"/>
    </xf>
    <xf numFmtId="0" fontId="4" fillId="5" borderId="0" xfId="0" applyFont="1" applyFill="1" applyAlignment="1">
      <alignment horizontal="left" wrapText="1"/>
    </xf>
    <xf numFmtId="4" fontId="4" fillId="7" borderId="4" xfId="2" applyNumberFormat="1" applyFont="1" applyFill="1" applyBorder="1" applyAlignment="1">
      <alignment horizontal="center"/>
    </xf>
    <xf numFmtId="0" fontId="4" fillId="5" borderId="0" xfId="0" applyFont="1" applyFill="1" applyAlignment="1">
      <alignment horizontal="left" vertical="center" wrapText="1"/>
    </xf>
    <xf numFmtId="9" fontId="4" fillId="7" borderId="4" xfId="0" applyNumberFormat="1" applyFont="1" applyFill="1" applyBorder="1" applyAlignment="1">
      <alignment horizontal="center"/>
    </xf>
    <xf numFmtId="0" fontId="4" fillId="5" borderId="7"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4" borderId="0" xfId="0" applyFont="1" applyFill="1" applyAlignment="1">
      <alignment horizontal="center"/>
    </xf>
    <xf numFmtId="172" fontId="4" fillId="5" borderId="4" xfId="3" applyNumberFormat="1" applyFont="1" applyFill="1" applyBorder="1" applyAlignment="1">
      <alignment horizontal="center" wrapText="1"/>
    </xf>
    <xf numFmtId="0" fontId="4" fillId="5" borderId="7" xfId="0" applyFont="1" applyFill="1" applyBorder="1" applyAlignment="1">
      <alignment horizontal="center"/>
    </xf>
    <xf numFmtId="0" fontId="4" fillId="5" borderId="11" xfId="0" applyFont="1" applyFill="1" applyBorder="1" applyAlignment="1">
      <alignment horizontal="center"/>
    </xf>
    <xf numFmtId="0" fontId="4" fillId="5" borderId="8" xfId="0" applyFont="1" applyFill="1" applyBorder="1" applyAlignment="1">
      <alignment horizontal="center"/>
    </xf>
    <xf numFmtId="0" fontId="4" fillId="5" borderId="2" xfId="0" applyFont="1" applyFill="1" applyBorder="1" applyAlignment="1">
      <alignment horizontal="center"/>
    </xf>
    <xf numFmtId="0" fontId="4" fillId="5" borderId="2" xfId="0" applyFont="1" applyFill="1" applyBorder="1" applyAlignment="1">
      <alignment horizontal="center" wrapText="1"/>
    </xf>
    <xf numFmtId="0" fontId="4" fillId="5" borderId="7" xfId="0" applyFont="1" applyFill="1" applyBorder="1" applyAlignment="1">
      <alignment horizontal="center" wrapText="1"/>
    </xf>
    <xf numFmtId="0" fontId="4" fillId="5" borderId="11" xfId="0" applyFont="1" applyFill="1" applyBorder="1" applyAlignment="1">
      <alignment horizontal="center" wrapText="1"/>
    </xf>
    <xf numFmtId="0" fontId="4" fillId="5" borderId="8" xfId="0" applyFont="1" applyFill="1" applyBorder="1" applyAlignment="1">
      <alignment horizontal="center" wrapText="1"/>
    </xf>
    <xf numFmtId="0" fontId="78" fillId="0" borderId="87" xfId="4" applyAlignment="1">
      <alignment horizontal="left" vertical="top" wrapText="1"/>
    </xf>
    <xf numFmtId="0" fontId="41" fillId="62" borderId="55" xfId="44" applyFont="1" applyFill="1" applyBorder="1" applyAlignment="1">
      <alignment horizontal="center" vertical="center" wrapText="1"/>
    </xf>
    <xf numFmtId="0" fontId="41" fillId="62" borderId="56" xfId="44" applyFont="1" applyFill="1" applyBorder="1" applyAlignment="1">
      <alignment horizontal="center" vertical="center" wrapText="1"/>
    </xf>
    <xf numFmtId="0" fontId="41" fillId="62" borderId="41" xfId="44" applyFont="1" applyFill="1" applyBorder="1" applyAlignment="1">
      <alignment horizontal="center" vertical="center"/>
    </xf>
    <xf numFmtId="0" fontId="41" fillId="62" borderId="50" xfId="44" applyFont="1" applyFill="1" applyBorder="1" applyAlignment="1">
      <alignment horizontal="center" vertical="center"/>
    </xf>
    <xf numFmtId="0" fontId="41" fillId="62" borderId="52" xfId="44" applyFont="1" applyFill="1" applyBorder="1" applyAlignment="1">
      <alignment horizontal="center" vertical="center"/>
    </xf>
    <xf numFmtId="0" fontId="41" fillId="62" borderId="41" xfId="44" applyFont="1" applyFill="1" applyBorder="1" applyAlignment="1">
      <alignment horizontal="center" vertical="center" wrapText="1"/>
    </xf>
    <xf numFmtId="0" fontId="41" fillId="62" borderId="50" xfId="44" applyFont="1" applyFill="1" applyBorder="1" applyAlignment="1">
      <alignment horizontal="center" vertical="center" wrapText="1"/>
    </xf>
    <xf numFmtId="0" fontId="41" fillId="62" borderId="52" xfId="44" applyFont="1" applyFill="1" applyBorder="1" applyAlignment="1">
      <alignment horizontal="center" vertical="center" wrapText="1"/>
    </xf>
    <xf numFmtId="0" fontId="41" fillId="62" borderId="51" xfId="44" applyFont="1" applyFill="1" applyBorder="1" applyAlignment="1">
      <alignment horizontal="center" vertical="center" textRotation="90" wrapText="1"/>
    </xf>
    <xf numFmtId="0" fontId="41" fillId="62" borderId="44" xfId="44" applyFont="1" applyFill="1" applyBorder="1" applyAlignment="1">
      <alignment horizontal="center" vertical="center" textRotation="90" wrapText="1"/>
    </xf>
    <xf numFmtId="0" fontId="43" fillId="62" borderId="39" xfId="44" applyFont="1" applyFill="1" applyBorder="1" applyAlignment="1">
      <alignment horizontal="center" vertical="center" textRotation="90" wrapText="1"/>
    </xf>
    <xf numFmtId="0" fontId="43" fillId="62" borderId="44" xfId="44" applyFont="1" applyFill="1" applyBorder="1" applyAlignment="1">
      <alignment horizontal="center" vertical="center" textRotation="90" wrapText="1"/>
    </xf>
    <xf numFmtId="0" fontId="41" fillId="62" borderId="47" xfId="44" applyFont="1" applyFill="1" applyBorder="1" applyAlignment="1">
      <alignment horizontal="center" vertical="center" wrapText="1"/>
    </xf>
    <xf numFmtId="0" fontId="41" fillId="62" borderId="38" xfId="44" applyFont="1" applyFill="1" applyBorder="1" applyAlignment="1">
      <alignment horizontal="center" vertical="center" wrapText="1"/>
    </xf>
    <xf numFmtId="0" fontId="41" fillId="62" borderId="53" xfId="44" applyFont="1" applyFill="1" applyBorder="1" applyAlignment="1">
      <alignment horizontal="center" vertical="center" wrapText="1"/>
    </xf>
    <xf numFmtId="0" fontId="41" fillId="62" borderId="54" xfId="44" applyFont="1" applyFill="1" applyBorder="1" applyAlignment="1">
      <alignment horizontal="center" vertical="center" wrapText="1"/>
    </xf>
    <xf numFmtId="0" fontId="41" fillId="62" borderId="49" xfId="44" applyFont="1" applyFill="1" applyBorder="1" applyAlignment="1">
      <alignment horizontal="center" vertical="center" wrapText="1"/>
    </xf>
    <xf numFmtId="0" fontId="41" fillId="62" borderId="45" xfId="44" applyFont="1" applyFill="1" applyBorder="1" applyAlignment="1">
      <alignment horizontal="center" vertical="center" wrapText="1"/>
    </xf>
    <xf numFmtId="0" fontId="41" fillId="62" borderId="46" xfId="44" applyFont="1" applyFill="1" applyBorder="1" applyAlignment="1">
      <alignment horizontal="center" vertical="center" wrapText="1"/>
    </xf>
    <xf numFmtId="0" fontId="41" fillId="62" borderId="48" xfId="44" applyFont="1" applyFill="1" applyBorder="1" applyAlignment="1">
      <alignment horizontal="center" vertical="center" wrapText="1"/>
    </xf>
    <xf numFmtId="0" fontId="45" fillId="63" borderId="55" xfId="44" applyFont="1" applyFill="1" applyBorder="1" applyAlignment="1">
      <alignment horizontal="left"/>
    </xf>
    <xf numFmtId="0" fontId="45" fillId="63" borderId="57" xfId="44" applyFont="1" applyFill="1" applyBorder="1" applyAlignment="1">
      <alignment horizontal="left"/>
    </xf>
    <xf numFmtId="0" fontId="45" fillId="63" borderId="56" xfId="44" applyFont="1" applyFill="1" applyBorder="1" applyAlignment="1">
      <alignment horizontal="left"/>
    </xf>
    <xf numFmtId="0" fontId="41" fillId="62" borderId="39" xfId="44" applyFont="1" applyFill="1" applyBorder="1" applyAlignment="1">
      <alignment horizontal="center" vertical="center" textRotation="90" wrapText="1"/>
    </xf>
    <xf numFmtId="0" fontId="41" fillId="62" borderId="55" xfId="44" applyFont="1" applyFill="1" applyBorder="1" applyAlignment="1">
      <alignment horizontal="center"/>
    </xf>
    <xf numFmtId="0" fontId="41" fillId="62" borderId="57" xfId="44" applyFont="1" applyFill="1" applyBorder="1" applyAlignment="1">
      <alignment horizontal="center"/>
    </xf>
    <xf numFmtId="0" fontId="41" fillId="62" borderId="51" xfId="44" applyFont="1" applyFill="1" applyBorder="1" applyAlignment="1">
      <alignment horizontal="center" vertical="center" wrapText="1"/>
    </xf>
    <xf numFmtId="0" fontId="41" fillId="62" borderId="44" xfId="44" applyFont="1" applyFill="1" applyBorder="1" applyAlignment="1">
      <alignment horizontal="center" vertical="center" wrapText="1"/>
    </xf>
    <xf numFmtId="0" fontId="52" fillId="0" borderId="58" xfId="0" applyFont="1" applyBorder="1" applyAlignment="1">
      <alignment vertical="center" wrapText="1"/>
    </xf>
    <xf numFmtId="0" fontId="52" fillId="0" borderId="0" xfId="0" applyFont="1" applyAlignment="1">
      <alignment vertical="center" wrapText="1"/>
    </xf>
    <xf numFmtId="0" fontId="52" fillId="0" borderId="18" xfId="0" applyFont="1" applyBorder="1" applyAlignment="1">
      <alignment vertical="center" wrapText="1"/>
    </xf>
    <xf numFmtId="0" fontId="52" fillId="0" borderId="60" xfId="0" applyFont="1" applyBorder="1" applyAlignment="1">
      <alignment vertical="center" wrapText="1"/>
    </xf>
    <xf numFmtId="0" fontId="51" fillId="3" borderId="58" xfId="0" applyFont="1" applyFill="1" applyBorder="1" applyAlignment="1">
      <alignment vertical="center" wrapText="1"/>
    </xf>
    <xf numFmtId="0" fontId="51" fillId="0" borderId="58" xfId="0" applyFont="1" applyBorder="1" applyAlignment="1">
      <alignment vertical="center" wrapText="1"/>
    </xf>
    <xf numFmtId="0" fontId="51" fillId="0" borderId="0" xfId="0" applyFont="1" applyAlignment="1">
      <alignment vertical="center" wrapText="1"/>
    </xf>
    <xf numFmtId="0" fontId="52" fillId="0" borderId="0" xfId="0" applyFont="1" applyBorder="1" applyAlignment="1">
      <alignment vertical="center" wrapText="1"/>
    </xf>
    <xf numFmtId="0" fontId="52" fillId="0" borderId="59" xfId="0" applyFont="1" applyBorder="1" applyAlignment="1">
      <alignment vertical="center" wrapText="1"/>
    </xf>
    <xf numFmtId="0" fontId="0" fillId="0" borderId="0" xfId="0" applyAlignment="1">
      <alignment vertical="top" wrapText="1"/>
    </xf>
    <xf numFmtId="0" fontId="0" fillId="0" borderId="59" xfId="0" applyBorder="1" applyAlignment="1">
      <alignment vertical="top" wrapText="1"/>
    </xf>
    <xf numFmtId="0" fontId="51" fillId="0" borderId="0" xfId="0" applyFont="1" applyBorder="1" applyAlignment="1">
      <alignment horizontal="center" vertical="center" wrapText="1"/>
    </xf>
    <xf numFmtId="0" fontId="51" fillId="0" borderId="0" xfId="0" applyFont="1" applyBorder="1" applyAlignment="1">
      <alignment horizontal="right" vertical="center" wrapText="1"/>
    </xf>
    <xf numFmtId="0" fontId="51" fillId="0" borderId="55" xfId="0" applyFont="1" applyBorder="1" applyAlignment="1">
      <alignment vertical="center" wrapText="1"/>
    </xf>
    <xf numFmtId="0" fontId="51" fillId="0" borderId="56" xfId="0" applyFont="1" applyBorder="1" applyAlignment="1">
      <alignment vertical="center" wrapText="1"/>
    </xf>
    <xf numFmtId="0" fontId="51" fillId="0" borderId="63" xfId="0" applyFont="1" applyBorder="1" applyAlignment="1">
      <alignment vertical="center" wrapText="1"/>
    </xf>
    <xf numFmtId="0" fontId="51" fillId="0" borderId="64" xfId="0" applyFont="1" applyBorder="1" applyAlignment="1">
      <alignment vertical="center" wrapText="1"/>
    </xf>
    <xf numFmtId="0" fontId="57" fillId="0" borderId="55" xfId="0" applyFont="1" applyBorder="1" applyAlignment="1">
      <alignment vertical="center" wrapText="1"/>
    </xf>
    <xf numFmtId="0" fontId="57" fillId="0" borderId="56" xfId="0" applyFont="1" applyBorder="1" applyAlignment="1">
      <alignment vertical="center" wrapText="1"/>
    </xf>
    <xf numFmtId="0" fontId="51" fillId="0" borderId="65" xfId="0" applyFont="1" applyBorder="1" applyAlignment="1">
      <alignment vertical="center" wrapText="1"/>
    </xf>
    <xf numFmtId="0" fontId="51" fillId="0" borderId="66" xfId="0" applyFont="1" applyBorder="1" applyAlignment="1">
      <alignment vertical="center" wrapText="1"/>
    </xf>
    <xf numFmtId="0" fontId="51" fillId="0" borderId="51" xfId="0" applyFont="1" applyBorder="1" applyAlignment="1">
      <alignment vertical="center" wrapText="1"/>
    </xf>
    <xf numFmtId="0" fontId="51" fillId="0" borderId="39" xfId="0" applyFont="1" applyBorder="1" applyAlignment="1">
      <alignment vertical="center" wrapText="1"/>
    </xf>
    <xf numFmtId="0" fontId="51" fillId="0" borderId="44" xfId="0" applyFont="1" applyBorder="1" applyAlignment="1">
      <alignment vertical="center" wrapText="1"/>
    </xf>
    <xf numFmtId="0" fontId="51" fillId="0" borderId="12" xfId="0" applyFont="1" applyBorder="1" applyAlignment="1">
      <alignment vertical="center" wrapText="1"/>
    </xf>
    <xf numFmtId="0" fontId="51" fillId="0" borderId="14" xfId="0" applyFont="1" applyBorder="1" applyAlignment="1">
      <alignment vertical="center" wrapText="1"/>
    </xf>
    <xf numFmtId="0" fontId="51" fillId="0" borderId="15" xfId="0" applyFont="1" applyBorder="1" applyAlignment="1">
      <alignment horizontal="left" vertical="center" wrapText="1" indent="1"/>
    </xf>
    <xf numFmtId="0" fontId="51" fillId="0" borderId="16" xfId="0" applyFont="1" applyBorder="1" applyAlignment="1">
      <alignment horizontal="left" vertical="center" wrapText="1" indent="1"/>
    </xf>
    <xf numFmtId="0" fontId="51" fillId="0" borderId="17" xfId="0" applyFont="1" applyBorder="1" applyAlignment="1">
      <alignment horizontal="left" vertical="center" wrapText="1" indent="1"/>
    </xf>
    <xf numFmtId="0" fontId="51" fillId="0" borderId="19" xfId="0" applyFont="1" applyBorder="1" applyAlignment="1">
      <alignment horizontal="left" vertical="center" wrapText="1" indent="1"/>
    </xf>
    <xf numFmtId="0" fontId="51" fillId="3" borderId="55" xfId="0" applyFont="1" applyFill="1" applyBorder="1" applyAlignment="1">
      <alignment vertical="center" wrapText="1"/>
    </xf>
    <xf numFmtId="0" fontId="51" fillId="3" borderId="56" xfId="0" applyFont="1" applyFill="1" applyBorder="1" applyAlignment="1">
      <alignment vertical="center" wrapText="1"/>
    </xf>
  </cellXfs>
  <cellStyles count="169">
    <cellStyle name=" 1" xfId="124" xr:uid="{00000000-0005-0000-0000-000000000000}"/>
    <cellStyle name=" 1 2" xfId="125" xr:uid="{00000000-0005-0000-0000-000001000000}"/>
    <cellStyle name="20% - Accent1" xfId="21" builtinId="30" customBuiltin="1"/>
    <cellStyle name="20% - Accent1 2" xfId="45" xr:uid="{00000000-0005-0000-0000-000003000000}"/>
    <cellStyle name="20% - Accent1 2 2" xfId="46" xr:uid="{00000000-0005-0000-0000-000004000000}"/>
    <cellStyle name="20% - Accent2" xfId="25" builtinId="34" customBuiltin="1"/>
    <cellStyle name="20% - Accent2 2" xfId="47" xr:uid="{00000000-0005-0000-0000-000006000000}"/>
    <cellStyle name="20% - Accent2 2 2" xfId="48" xr:uid="{00000000-0005-0000-0000-000007000000}"/>
    <cellStyle name="20% - Accent3" xfId="29" builtinId="38" customBuiltin="1"/>
    <cellStyle name="20% - Accent3 2" xfId="49" xr:uid="{00000000-0005-0000-0000-000009000000}"/>
    <cellStyle name="20% - Accent3 2 2" xfId="50" xr:uid="{00000000-0005-0000-0000-00000A000000}"/>
    <cellStyle name="20% - Accent4" xfId="33" builtinId="42" customBuiltin="1"/>
    <cellStyle name="20% - Accent4 2" xfId="51" xr:uid="{00000000-0005-0000-0000-00000C000000}"/>
    <cellStyle name="20% - Accent4 2 2" xfId="52" xr:uid="{00000000-0005-0000-0000-00000D000000}"/>
    <cellStyle name="20% - Accent5" xfId="37" builtinId="46" customBuiltin="1"/>
    <cellStyle name="20% - Accent5 2" xfId="53" xr:uid="{00000000-0005-0000-0000-00000F000000}"/>
    <cellStyle name="20% - Accent5 2 2" xfId="54" xr:uid="{00000000-0005-0000-0000-000010000000}"/>
    <cellStyle name="20% - Accent6" xfId="41" builtinId="50" customBuiltin="1"/>
    <cellStyle name="20% - Accent6 2" xfId="55" xr:uid="{00000000-0005-0000-0000-000012000000}"/>
    <cellStyle name="20% - Accent6 2 2" xfId="56" xr:uid="{00000000-0005-0000-0000-000013000000}"/>
    <cellStyle name="40% - Accent1" xfId="22" builtinId="31" customBuiltin="1"/>
    <cellStyle name="40% - Accent1 2" xfId="57" xr:uid="{00000000-0005-0000-0000-000015000000}"/>
    <cellStyle name="40% - Accent1 2 2" xfId="58" xr:uid="{00000000-0005-0000-0000-000016000000}"/>
    <cellStyle name="40% - Accent2" xfId="26" builtinId="35" customBuiltin="1"/>
    <cellStyle name="40% - Accent2 2" xfId="59" xr:uid="{00000000-0005-0000-0000-000018000000}"/>
    <cellStyle name="40% - Accent2 2 2" xfId="60" xr:uid="{00000000-0005-0000-0000-000019000000}"/>
    <cellStyle name="40% - Accent3" xfId="30" builtinId="39" customBuiltin="1"/>
    <cellStyle name="40% - Accent3 2" xfId="61" xr:uid="{00000000-0005-0000-0000-00001B000000}"/>
    <cellStyle name="40% - Accent3 2 2" xfId="62" xr:uid="{00000000-0005-0000-0000-00001C000000}"/>
    <cellStyle name="40% - Accent4" xfId="34" builtinId="43" customBuiltin="1"/>
    <cellStyle name="40% - Accent4 2" xfId="63" xr:uid="{00000000-0005-0000-0000-00001E000000}"/>
    <cellStyle name="40% - Accent4 2 2" xfId="64" xr:uid="{00000000-0005-0000-0000-00001F000000}"/>
    <cellStyle name="40% - Accent5" xfId="38" builtinId="47" customBuiltin="1"/>
    <cellStyle name="40% - Accent5 2" xfId="65" xr:uid="{00000000-0005-0000-0000-000021000000}"/>
    <cellStyle name="40% - Accent6" xfId="42" builtinId="51" customBuiltin="1"/>
    <cellStyle name="40% - Accent6 2" xfId="66" xr:uid="{00000000-0005-0000-0000-000023000000}"/>
    <cellStyle name="40% - Accent6 2 2" xfId="67" xr:uid="{00000000-0005-0000-0000-000024000000}"/>
    <cellStyle name="60% - Accent1" xfId="23" builtinId="32" customBuiltin="1"/>
    <cellStyle name="60% - Accent1 2" xfId="68" xr:uid="{00000000-0005-0000-0000-000026000000}"/>
    <cellStyle name="60% - Accent2" xfId="27" builtinId="36" customBuiltin="1"/>
    <cellStyle name="60% - Accent2 2" xfId="69" xr:uid="{00000000-0005-0000-0000-000028000000}"/>
    <cellStyle name="60% - Accent3" xfId="31" builtinId="40" customBuiltin="1"/>
    <cellStyle name="60% - Accent3 2" xfId="70" xr:uid="{00000000-0005-0000-0000-00002A000000}"/>
    <cellStyle name="60% - Accent4" xfId="35" builtinId="44" customBuiltin="1"/>
    <cellStyle name="60% - Accent4 2" xfId="71" xr:uid="{00000000-0005-0000-0000-00002C000000}"/>
    <cellStyle name="60% - Accent5" xfId="39" builtinId="48" customBuiltin="1"/>
    <cellStyle name="60% - Accent5 2" xfId="72" xr:uid="{00000000-0005-0000-0000-00002E000000}"/>
    <cellStyle name="60% - Accent6" xfId="43" builtinId="52" customBuiltin="1"/>
    <cellStyle name="60% - Accent6 2" xfId="73" xr:uid="{00000000-0005-0000-0000-000030000000}"/>
    <cellStyle name="Accent1" xfId="20" builtinId="29" customBuiltin="1"/>
    <cellStyle name="Accent1 2" xfId="74" xr:uid="{00000000-0005-0000-0000-000032000000}"/>
    <cellStyle name="Accent2" xfId="24" builtinId="33" customBuiltin="1"/>
    <cellStyle name="Accent2 2" xfId="75" xr:uid="{00000000-0005-0000-0000-000034000000}"/>
    <cellStyle name="Accent3" xfId="28" builtinId="37" customBuiltin="1"/>
    <cellStyle name="Accent3 2" xfId="76" xr:uid="{00000000-0005-0000-0000-000036000000}"/>
    <cellStyle name="Accent4" xfId="32" builtinId="41" customBuiltin="1"/>
    <cellStyle name="Accent4 2" xfId="77" xr:uid="{00000000-0005-0000-0000-000038000000}"/>
    <cellStyle name="Accent5" xfId="36" builtinId="45" customBuiltin="1"/>
    <cellStyle name="Accent5 2" xfId="78" xr:uid="{00000000-0005-0000-0000-00003A000000}"/>
    <cellStyle name="Accent6" xfId="40" builtinId="49" customBuiltin="1"/>
    <cellStyle name="Accent6 2" xfId="79" xr:uid="{00000000-0005-0000-0000-00003C000000}"/>
    <cellStyle name="Bad" xfId="10" builtinId="27" customBuiltin="1"/>
    <cellStyle name="Bad 2" xfId="80" xr:uid="{00000000-0005-0000-0000-00003E000000}"/>
    <cellStyle name="Calculation" xfId="14" builtinId="22" customBuiltin="1"/>
    <cellStyle name="Calculation 2" xfId="81" xr:uid="{00000000-0005-0000-0000-000040000000}"/>
    <cellStyle name="Check Cell" xfId="16" builtinId="23" customBuiltin="1"/>
    <cellStyle name="Check Cell 2" xfId="82" xr:uid="{00000000-0005-0000-0000-000042000000}"/>
    <cellStyle name="Comma" xfId="2" builtinId="3"/>
    <cellStyle name="Comma 2" xfId="84" xr:uid="{00000000-0005-0000-0000-000044000000}"/>
    <cellStyle name="Comma 2 2" xfId="132" xr:uid="{00000000-0005-0000-0000-000045000000}"/>
    <cellStyle name="Comma 2 3" xfId="148" xr:uid="{00000000-0005-0000-0000-000046000000}"/>
    <cellStyle name="Comma 2 4" xfId="157" xr:uid="{00000000-0005-0000-0000-000047000000}"/>
    <cellStyle name="Comma 3" xfId="85" xr:uid="{00000000-0005-0000-0000-000048000000}"/>
    <cellStyle name="Comma 3 2" xfId="86" xr:uid="{00000000-0005-0000-0000-000049000000}"/>
    <cellStyle name="Comma 4" xfId="129" xr:uid="{00000000-0005-0000-0000-00004A000000}"/>
    <cellStyle name="Comma 4 2" xfId="153" xr:uid="{00000000-0005-0000-0000-00004B000000}"/>
    <cellStyle name="Comma 4 3" xfId="141" xr:uid="{00000000-0005-0000-0000-00004C000000}"/>
    <cellStyle name="Comma 5" xfId="131" xr:uid="{00000000-0005-0000-0000-00004D000000}"/>
    <cellStyle name="Comma 5 2" xfId="150" xr:uid="{00000000-0005-0000-0000-00004E000000}"/>
    <cellStyle name="Comma 6" xfId="146" xr:uid="{00000000-0005-0000-0000-00004F000000}"/>
    <cellStyle name="Comma 7" xfId="158" xr:uid="{00000000-0005-0000-0000-000050000000}"/>
    <cellStyle name="Comma 8" xfId="137" xr:uid="{00000000-0005-0000-0000-000051000000}"/>
    <cellStyle name="Comma 9" xfId="83" xr:uid="{00000000-0005-0000-0000-000052000000}"/>
    <cellStyle name="Currency" xfId="3" builtinId="4"/>
    <cellStyle name="Currency 2" xfId="88" xr:uid="{00000000-0005-0000-0000-000054000000}"/>
    <cellStyle name="Currency 2 2" xfId="89" xr:uid="{00000000-0005-0000-0000-000055000000}"/>
    <cellStyle name="Currency 3" xfId="87" xr:uid="{00000000-0005-0000-0000-000056000000}"/>
    <cellStyle name="Euro" xfId="90" xr:uid="{00000000-0005-0000-0000-000057000000}"/>
    <cellStyle name="Explanatory Text" xfId="18" builtinId="53" customBuiltin="1"/>
    <cellStyle name="Explanatory Text 2" xfId="91" xr:uid="{00000000-0005-0000-0000-000059000000}"/>
    <cellStyle name="Followed Hyperlink" xfId="128" builtinId="9" customBuiltin="1"/>
    <cellStyle name="Good" xfId="9" builtinId="26" customBuiltin="1"/>
    <cellStyle name="Good 2" xfId="92" xr:uid="{00000000-0005-0000-0000-00005C000000}"/>
    <cellStyle name="Heading 1" xfId="4" builtinId="16" customBuiltin="1"/>
    <cellStyle name="Heading 1 2" xfId="93" xr:uid="{00000000-0005-0000-0000-00005E000000}"/>
    <cellStyle name="Heading 2" xfId="5" builtinId="17" customBuiltin="1"/>
    <cellStyle name="Heading 2 2" xfId="94" xr:uid="{00000000-0005-0000-0000-000060000000}"/>
    <cellStyle name="Heading 3" xfId="8" builtinId="18" customBuiltin="1"/>
    <cellStyle name="Heading 3 2" xfId="95" xr:uid="{00000000-0005-0000-0000-000062000000}"/>
    <cellStyle name="Heading 4" xfId="6" builtinId="19" customBuiltin="1"/>
    <cellStyle name="Heading 4 2" xfId="96" xr:uid="{00000000-0005-0000-0000-000064000000}"/>
    <cellStyle name="Hyperlink" xfId="126" builtinId="8" customBuiltin="1"/>
    <cellStyle name="Hyperlink 2" xfId="97" xr:uid="{00000000-0005-0000-0000-000066000000}"/>
    <cellStyle name="Hyperlink 2 2" xfId="134" xr:uid="{00000000-0005-0000-0000-000067000000}"/>
    <cellStyle name="Hyperlink 2 3" xfId="133" xr:uid="{00000000-0005-0000-0000-000068000000}"/>
    <cellStyle name="Input" xfId="12" builtinId="20" customBuiltin="1"/>
    <cellStyle name="Input 2" xfId="98" xr:uid="{00000000-0005-0000-0000-00006A000000}"/>
    <cellStyle name="Linked Cell" xfId="15" builtinId="24" customBuiltin="1"/>
    <cellStyle name="Linked Cell 2" xfId="99" xr:uid="{00000000-0005-0000-0000-00006C000000}"/>
    <cellStyle name="Method Step" xfId="167" xr:uid="{00000000-0005-0000-0000-00006D000000}"/>
    <cellStyle name="Neutral" xfId="11" builtinId="28" customBuiltin="1"/>
    <cellStyle name="Neutral 2" xfId="100" xr:uid="{00000000-0005-0000-0000-00006F000000}"/>
    <cellStyle name="Normal" xfId="0" builtinId="0" customBuiltin="1"/>
    <cellStyle name="Normal 10" xfId="160" xr:uid="{00000000-0005-0000-0000-000071000000}"/>
    <cellStyle name="Normal 11" xfId="161" xr:uid="{00000000-0005-0000-0000-000072000000}"/>
    <cellStyle name="Normal 12" xfId="136" xr:uid="{00000000-0005-0000-0000-000073000000}"/>
    <cellStyle name="Normal 13" xfId="166" xr:uid="{00000000-0005-0000-0000-000074000000}"/>
    <cellStyle name="Normal 14" xfId="44" xr:uid="{00000000-0005-0000-0000-000075000000}"/>
    <cellStyle name="Normal 2" xfId="101" xr:uid="{00000000-0005-0000-0000-000076000000}"/>
    <cellStyle name="Normal 2 2" xfId="102" xr:uid="{00000000-0005-0000-0000-000077000000}"/>
    <cellStyle name="Normal 2 2 2" xfId="103" xr:uid="{00000000-0005-0000-0000-000078000000}"/>
    <cellStyle name="Normal 2 3" xfId="104" xr:uid="{00000000-0005-0000-0000-000079000000}"/>
    <cellStyle name="Normal 2 4" xfId="105" xr:uid="{00000000-0005-0000-0000-00007A000000}"/>
    <cellStyle name="Normal 2 4 2" xfId="147" xr:uid="{00000000-0005-0000-0000-00007B000000}"/>
    <cellStyle name="Normal 2 5" xfId="162" xr:uid="{00000000-0005-0000-0000-00007C000000}"/>
    <cellStyle name="Normal 2 6" xfId="163" xr:uid="{00000000-0005-0000-0000-00007D000000}"/>
    <cellStyle name="Normal 28" xfId="130" xr:uid="{00000000-0005-0000-0000-00007E000000}"/>
    <cellStyle name="Normal 3" xfId="106" xr:uid="{00000000-0005-0000-0000-00007F000000}"/>
    <cellStyle name="Normal 3 2" xfId="107" xr:uid="{00000000-0005-0000-0000-000080000000}"/>
    <cellStyle name="Normal 3 2 2" xfId="108" xr:uid="{00000000-0005-0000-0000-000081000000}"/>
    <cellStyle name="Normal 3 2 3" xfId="151" xr:uid="{00000000-0005-0000-0000-000082000000}"/>
    <cellStyle name="Normal 3 3" xfId="109" xr:uid="{00000000-0005-0000-0000-000083000000}"/>
    <cellStyle name="Normal 3 3 2" xfId="164" xr:uid="{00000000-0005-0000-0000-000084000000}"/>
    <cellStyle name="Normal 3 4" xfId="139" xr:uid="{00000000-0005-0000-0000-000085000000}"/>
    <cellStyle name="Normal 3_KGP Fuel" xfId="165" xr:uid="{00000000-0005-0000-0000-000086000000}"/>
    <cellStyle name="Normal 4" xfId="123" xr:uid="{00000000-0005-0000-0000-000087000000}"/>
    <cellStyle name="Normal 4 2" xfId="135" xr:uid="{00000000-0005-0000-0000-000088000000}"/>
    <cellStyle name="Normal 4 2 2" xfId="152" xr:uid="{00000000-0005-0000-0000-000089000000}"/>
    <cellStyle name="Normal 4 3" xfId="140" xr:uid="{00000000-0005-0000-0000-00008A000000}"/>
    <cellStyle name="Normal 5" xfId="142" xr:uid="{00000000-0005-0000-0000-00008B000000}"/>
    <cellStyle name="Normal 5 2" xfId="154" xr:uid="{00000000-0005-0000-0000-00008C000000}"/>
    <cellStyle name="Normal 6" xfId="143" xr:uid="{00000000-0005-0000-0000-00008D000000}"/>
    <cellStyle name="Normal 7" xfId="144" xr:uid="{00000000-0005-0000-0000-00008E000000}"/>
    <cellStyle name="Normal 7 2" xfId="155" xr:uid="{00000000-0005-0000-0000-00008F000000}"/>
    <cellStyle name="Normal 8" xfId="145" xr:uid="{00000000-0005-0000-0000-000090000000}"/>
    <cellStyle name="Normal 9" xfId="156" xr:uid="{00000000-0005-0000-0000-000091000000}"/>
    <cellStyle name="Note 2" xfId="111" xr:uid="{00000000-0005-0000-0000-000092000000}"/>
    <cellStyle name="Note 2 2" xfId="112" xr:uid="{00000000-0005-0000-0000-000093000000}"/>
    <cellStyle name="Note 2 3" xfId="113" xr:uid="{00000000-0005-0000-0000-000094000000}"/>
    <cellStyle name="Note 3" xfId="110" xr:uid="{00000000-0005-0000-0000-000095000000}"/>
    <cellStyle name="Optional Input" xfId="168" xr:uid="{00000000-0005-0000-0000-000096000000}"/>
    <cellStyle name="Output" xfId="13" builtinId="21" customBuiltin="1"/>
    <cellStyle name="Output 2" xfId="114" xr:uid="{00000000-0005-0000-0000-000098000000}"/>
    <cellStyle name="Percent" xfId="1" builtinId="5"/>
    <cellStyle name="Percent 2" xfId="116" xr:uid="{00000000-0005-0000-0000-00009A000000}"/>
    <cellStyle name="Percent 2 2" xfId="117" xr:uid="{00000000-0005-0000-0000-00009B000000}"/>
    <cellStyle name="Percent 2 3" xfId="149" xr:uid="{00000000-0005-0000-0000-00009C000000}"/>
    <cellStyle name="Percent 3" xfId="118" xr:uid="{00000000-0005-0000-0000-00009D000000}"/>
    <cellStyle name="Percent 4" xfId="127" xr:uid="{00000000-0005-0000-0000-00009E000000}"/>
    <cellStyle name="Percent 4 2" xfId="159" xr:uid="{00000000-0005-0000-0000-00009F000000}"/>
    <cellStyle name="Percent 5" xfId="138" xr:uid="{00000000-0005-0000-0000-0000A0000000}"/>
    <cellStyle name="Percent 6" xfId="115" xr:uid="{00000000-0005-0000-0000-0000A1000000}"/>
    <cellStyle name="RK Number 10 point" xfId="119" xr:uid="{00000000-0005-0000-0000-0000A2000000}"/>
    <cellStyle name="Title" xfId="7" builtinId="15" customBuiltin="1"/>
    <cellStyle name="Title 2" xfId="120" xr:uid="{00000000-0005-0000-0000-0000A4000000}"/>
    <cellStyle name="Total" xfId="19" builtinId="25" customBuiltin="1"/>
    <cellStyle name="Total 2" xfId="121" xr:uid="{00000000-0005-0000-0000-0000A6000000}"/>
    <cellStyle name="Warning Text" xfId="17" builtinId="11" customBuiltin="1"/>
    <cellStyle name="Warning Text 2" xfId="122" xr:uid="{00000000-0005-0000-0000-0000A8000000}"/>
  </cellStyles>
  <dxfs count="48">
    <dxf>
      <alignment wrapText="1" readingOrder="0"/>
    </dxf>
    <dxf>
      <alignment wrapText="1" readingOrder="0"/>
    </dxf>
    <dxf>
      <alignment wrapText="1" readingOrder="0"/>
    </dxf>
    <dxf>
      <alignment wrapText="1" readingOrder="0"/>
    </dxf>
    <dxf>
      <alignment wrapText="1" readingOrder="0"/>
    </dxf>
    <dxf>
      <alignment wrapText="1"/>
    </dxf>
    <dxf>
      <alignment wrapText="1" readingOrder="0"/>
    </dxf>
    <dxf>
      <alignment wrapText="1" readingOrder="0"/>
    </dxf>
    <dxf>
      <alignment wrapText="1"/>
    </dxf>
    <dxf>
      <alignment wrapText="1" readingOrder="0"/>
    </dxf>
    <dxf>
      <alignment wrapText="1" readingOrder="0"/>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92D050"/>
        </patternFill>
      </fill>
    </dxf>
    <dxf>
      <fill>
        <patternFill>
          <bgColor rgb="FF92D050"/>
        </patternFill>
      </fill>
    </dxf>
    <dxf>
      <font>
        <color rgb="FFF0F0F0"/>
      </font>
      <fill>
        <patternFill>
          <bgColor rgb="FFF0F0F0"/>
        </patternFill>
      </fill>
      <border>
        <left/>
        <right/>
        <top/>
        <bottom/>
        <vertical/>
        <horizontal/>
      </border>
    </dxf>
    <dxf>
      <font>
        <color rgb="FFF0F0F0"/>
      </font>
      <fill>
        <patternFill>
          <bgColor rgb="FFF0F0F0"/>
        </patternFill>
      </fill>
      <border>
        <left/>
        <right/>
        <top/>
        <bottom/>
        <vertical/>
        <horizontal/>
      </border>
    </dxf>
    <dxf>
      <font>
        <color theme="0"/>
      </font>
      <fill>
        <patternFill>
          <bgColor theme="0"/>
        </patternFill>
      </fill>
      <border>
        <left/>
        <right/>
        <top/>
        <bottom/>
        <vertical/>
        <horizontal/>
      </border>
    </dxf>
    <dxf>
      <font>
        <color rgb="FFF0F0F0"/>
      </font>
      <fill>
        <patternFill>
          <bgColor rgb="FFF0F0F0"/>
        </patternFill>
      </fill>
      <border>
        <left/>
        <right/>
        <top/>
        <bottom/>
        <vertical/>
        <horizontal/>
      </border>
    </dxf>
    <dxf>
      <font>
        <color rgb="FFF0F0F0"/>
      </font>
      <fill>
        <patternFill>
          <bgColor rgb="FFF0F0F0"/>
        </patternFill>
      </fill>
      <border>
        <left/>
        <right/>
        <top/>
        <bottom/>
        <vertical/>
        <horizontal/>
      </border>
    </dxf>
    <dxf>
      <font>
        <color rgb="FFF0F0F0"/>
      </font>
      <fill>
        <patternFill>
          <bgColor rgb="FFF0F0F0"/>
        </patternFill>
      </fill>
      <border>
        <left/>
        <right/>
        <top/>
        <bottom/>
        <vertical/>
        <horizontal/>
      </border>
    </dxf>
    <dxf>
      <font>
        <color theme="0"/>
      </font>
      <fill>
        <patternFill>
          <bgColor theme="0"/>
        </patternFill>
      </fill>
      <border>
        <left/>
        <right/>
        <top/>
        <bottom/>
        <vertical/>
        <horizontal/>
      </border>
    </dxf>
    <dxf>
      <font>
        <color rgb="FFF0F0F0"/>
      </font>
      <fill>
        <patternFill>
          <bgColor rgb="FFF0F0F0"/>
        </patternFill>
      </fill>
      <border>
        <left/>
        <right/>
        <top/>
        <bottom/>
        <vertical/>
        <horizontal/>
      </border>
    </dxf>
    <dxf>
      <fill>
        <patternFill>
          <bgColor rgb="FFCCFF99"/>
        </patternFill>
      </fill>
    </dxf>
    <dxf>
      <fill>
        <patternFill>
          <bgColor rgb="FFFFCCCC"/>
        </patternFill>
      </fill>
    </dxf>
    <dxf>
      <border>
        <left/>
        <right/>
        <bottom/>
        <vertical/>
        <horizontal/>
      </border>
    </dxf>
    <dxf>
      <font>
        <color theme="0"/>
      </font>
    </dxf>
    <dxf>
      <font>
        <color theme="0"/>
      </font>
    </dxf>
    <dxf>
      <font>
        <color theme="0"/>
      </font>
    </dxf>
    <dxf>
      <font>
        <color theme="0"/>
      </font>
    </dxf>
    <dxf>
      <font>
        <color theme="0"/>
      </font>
      <fill>
        <patternFill>
          <bgColor theme="0"/>
        </patternFill>
      </fill>
      <border>
        <left/>
        <right/>
        <top/>
        <bottom/>
      </border>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b/>
        <i val="0"/>
        <color auto="1"/>
      </font>
      <fill>
        <patternFill>
          <bgColor rgb="FFFFFF0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bottom/>
      </border>
    </dxf>
    <dxf>
      <font>
        <color theme="0"/>
      </font>
      <fill>
        <patternFill>
          <bgColor theme="0"/>
        </patternFill>
      </fill>
    </dxf>
    <dxf>
      <font>
        <color theme="0"/>
      </font>
      <fill>
        <patternFill>
          <bgColor theme="0"/>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DCF8DC"/>
      <color rgb="FFF0F0F0"/>
      <color rgb="FFBCEED6"/>
      <color rgb="FF2BA56B"/>
      <color rgb="FFFFE291"/>
      <color rgb="FFF29C00"/>
      <color rgb="FFFEBB00"/>
      <color rgb="FFFFD96A"/>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20815737133204E-2"/>
          <c:y val="0"/>
          <c:w val="0.91318820441562454"/>
          <c:h val="1"/>
        </c:manualLayout>
      </c:layout>
      <c:doughnutChart>
        <c:varyColors val="1"/>
        <c:ser>
          <c:idx val="0"/>
          <c:order val="0"/>
          <c:dPt>
            <c:idx val="0"/>
            <c:bubble3D val="0"/>
            <c:spPr>
              <a:noFill/>
            </c:spPr>
            <c:extLst>
              <c:ext xmlns:c16="http://schemas.microsoft.com/office/drawing/2014/chart" uri="{C3380CC4-5D6E-409C-BE32-E72D297353CC}">
                <c16:uniqueId val="{00000001-DE31-4334-83B0-7C461FB40CA3}"/>
              </c:ext>
            </c:extLst>
          </c:dPt>
          <c:dPt>
            <c:idx val="2"/>
            <c:bubble3D val="0"/>
            <c:spPr>
              <a:gradFill flip="none" rotWithShape="1">
                <a:gsLst>
                  <a:gs pos="0">
                    <a:srgbClr val="00B050"/>
                  </a:gs>
                  <a:gs pos="71000">
                    <a:srgbClr val="FF9966"/>
                  </a:gs>
                  <a:gs pos="38000">
                    <a:srgbClr val="FFFF99"/>
                  </a:gs>
                  <a:gs pos="100000">
                    <a:srgbClr val="FF0000"/>
                  </a:gs>
                </a:gsLst>
                <a:path path="circle">
                  <a:fillToRect t="100000" r="100000"/>
                </a:path>
                <a:tileRect l="-100000" b="-100000"/>
              </a:gradFill>
              <a:effectLst>
                <a:outerShdw blurRad="50800" dist="38100" dir="5400000" algn="t" rotWithShape="0">
                  <a:prstClr val="black">
                    <a:alpha val="40000"/>
                  </a:prstClr>
                </a:outerShdw>
              </a:effectLst>
            </c:spPr>
            <c:extLst>
              <c:ext xmlns:c16="http://schemas.microsoft.com/office/drawing/2014/chart" uri="{C3380CC4-5D6E-409C-BE32-E72D297353CC}">
                <c16:uniqueId val="{00000003-DE31-4334-83B0-7C461FB40CA3}"/>
              </c:ext>
            </c:extLst>
          </c:dPt>
          <c:val>
            <c:numRef>
              <c:f>Calculations!$K$207:$K$209</c:f>
              <c:numCache>
                <c:formatCode>General</c:formatCode>
                <c:ptCount val="3"/>
                <c:pt idx="0">
                  <c:v>180</c:v>
                </c:pt>
                <c:pt idx="1">
                  <c:v>0</c:v>
                </c:pt>
                <c:pt idx="2">
                  <c:v>180</c:v>
                </c:pt>
              </c:numCache>
            </c:numRef>
          </c:val>
          <c:extLst>
            <c:ext xmlns:c16="http://schemas.microsoft.com/office/drawing/2014/chart" uri="{C3380CC4-5D6E-409C-BE32-E72D297353CC}">
              <c16:uniqueId val="{00000004-DE31-4334-83B0-7C461FB40CA3}"/>
            </c:ext>
          </c:extLst>
        </c:ser>
        <c:dLbls>
          <c:showLegendKey val="0"/>
          <c:showVal val="0"/>
          <c:showCatName val="0"/>
          <c:showSerName val="0"/>
          <c:showPercent val="0"/>
          <c:showBubbleSize val="0"/>
          <c:showLeaderLines val="1"/>
        </c:dLbls>
        <c:firstSliceAng val="90"/>
        <c:holeSize val="81"/>
      </c:doughnutChart>
      <c:scatterChart>
        <c:scatterStyle val="lineMarker"/>
        <c:varyColors val="0"/>
        <c:ser>
          <c:idx val="1"/>
          <c:order val="1"/>
          <c:spPr>
            <a:effectLst>
              <a:outerShdw blurRad="50800" dist="38100" dir="5400000" algn="t" rotWithShape="0">
                <a:prstClr val="black">
                  <a:alpha val="40000"/>
                </a:prstClr>
              </a:outerShdw>
            </a:effectLst>
          </c:spPr>
          <c:marker>
            <c:symbol val="none"/>
          </c:marker>
          <c:dPt>
            <c:idx val="1"/>
            <c:bubble3D val="0"/>
            <c:spPr>
              <a:ln w="34925">
                <a:headEnd type="none"/>
                <a:tailEnd type="none" w="med" len="lg"/>
              </a:ln>
              <a:effectLst>
                <a:outerShdw blurRad="50800" dist="38100" dir="5400000" algn="t" rotWithShape="0">
                  <a:prstClr val="black">
                    <a:alpha val="40000"/>
                  </a:prstClr>
                </a:outerShdw>
              </a:effectLst>
            </c:spPr>
            <c:extLst>
              <c:ext xmlns:c16="http://schemas.microsoft.com/office/drawing/2014/chart" uri="{C3380CC4-5D6E-409C-BE32-E72D297353CC}">
                <c16:uniqueId val="{00000006-DE31-4334-83B0-7C461FB40CA3}"/>
              </c:ext>
            </c:extLst>
          </c:dPt>
          <c:xVal>
            <c:numRef>
              <c:f>Calculations!$I$207:$I$209</c:f>
              <c:numCache>
                <c:formatCode>General</c:formatCode>
                <c:ptCount val="3"/>
                <c:pt idx="0">
                  <c:v>0</c:v>
                </c:pt>
                <c:pt idx="1">
                  <c:v>-0.98230142541949339</c:v>
                </c:pt>
                <c:pt idx="2">
                  <c:v>0</c:v>
                </c:pt>
              </c:numCache>
            </c:numRef>
          </c:xVal>
          <c:yVal>
            <c:numRef>
              <c:f>Calculations!$J$207:$J$209</c:f>
              <c:numCache>
                <c:formatCode>General</c:formatCode>
                <c:ptCount val="3"/>
                <c:pt idx="0">
                  <c:v>0</c:v>
                </c:pt>
                <c:pt idx="1">
                  <c:v>0.18730699297898995</c:v>
                </c:pt>
                <c:pt idx="2">
                  <c:v>0</c:v>
                </c:pt>
              </c:numCache>
            </c:numRef>
          </c:yVal>
          <c:smooth val="0"/>
          <c:extLst>
            <c:ext xmlns:c16="http://schemas.microsoft.com/office/drawing/2014/chart" uri="{C3380CC4-5D6E-409C-BE32-E72D297353CC}">
              <c16:uniqueId val="{00000007-DE31-4334-83B0-7C461FB40CA3}"/>
            </c:ext>
          </c:extLst>
        </c:ser>
        <c:dLbls>
          <c:showLegendKey val="0"/>
          <c:showVal val="0"/>
          <c:showCatName val="0"/>
          <c:showSerName val="0"/>
          <c:showPercent val="0"/>
          <c:showBubbleSize val="0"/>
        </c:dLbls>
        <c:axId val="579052288"/>
        <c:axId val="579038208"/>
      </c:scatterChart>
      <c:valAx>
        <c:axId val="579038208"/>
        <c:scaling>
          <c:orientation val="minMax"/>
          <c:max val="1"/>
          <c:min val="-1"/>
        </c:scaling>
        <c:delete val="1"/>
        <c:axPos val="l"/>
        <c:numFmt formatCode="General" sourceLinked="1"/>
        <c:majorTickMark val="out"/>
        <c:minorTickMark val="none"/>
        <c:tickLblPos val="nextTo"/>
        <c:crossAx val="579052288"/>
        <c:crosses val="autoZero"/>
        <c:crossBetween val="midCat"/>
      </c:valAx>
      <c:valAx>
        <c:axId val="579052288"/>
        <c:scaling>
          <c:orientation val="minMax"/>
          <c:max val="1"/>
          <c:min val="-1"/>
        </c:scaling>
        <c:delete val="1"/>
        <c:axPos val="b"/>
        <c:numFmt formatCode="General" sourceLinked="1"/>
        <c:majorTickMark val="out"/>
        <c:minorTickMark val="none"/>
        <c:tickLblPos val="nextTo"/>
        <c:crossAx val="579038208"/>
        <c:crosses val="autoZero"/>
        <c:crossBetween val="midCat"/>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'Benchmark-Adjustments'!$D$51:$D$53</c:f>
              <c:numCache>
                <c:formatCode>0%</c:formatCode>
                <c:ptCount val="3"/>
                <c:pt idx="0">
                  <c:v>0</c:v>
                </c:pt>
                <c:pt idx="1">
                  <c:v>0.5</c:v>
                </c:pt>
                <c:pt idx="2">
                  <c:v>1</c:v>
                </c:pt>
              </c:numCache>
            </c:numRef>
          </c:xVal>
          <c:yVal>
            <c:numRef>
              <c:f>'Benchmark-Adjustments'!$G$51:$G$53</c:f>
              <c:numCache>
                <c:formatCode>#,##0.00</c:formatCode>
                <c:ptCount val="3"/>
                <c:pt idx="0">
                  <c:v>1.25</c:v>
                </c:pt>
                <c:pt idx="1">
                  <c:v>1.25</c:v>
                </c:pt>
                <c:pt idx="2">
                  <c:v>1</c:v>
                </c:pt>
              </c:numCache>
            </c:numRef>
          </c:yVal>
          <c:smooth val="0"/>
          <c:extLst>
            <c:ext xmlns:c16="http://schemas.microsoft.com/office/drawing/2014/chart" uri="{C3380CC4-5D6E-409C-BE32-E72D297353CC}">
              <c16:uniqueId val="{00000000-1361-4B55-BF52-DE0069540ABB}"/>
            </c:ext>
          </c:extLst>
        </c:ser>
        <c:dLbls>
          <c:showLegendKey val="0"/>
          <c:showVal val="0"/>
          <c:showCatName val="0"/>
          <c:showSerName val="0"/>
          <c:showPercent val="0"/>
          <c:showBubbleSize val="0"/>
        </c:dLbls>
        <c:axId val="590144640"/>
        <c:axId val="590146176"/>
      </c:scatterChart>
      <c:valAx>
        <c:axId val="590144640"/>
        <c:scaling>
          <c:orientation val="minMax"/>
          <c:max val="1"/>
        </c:scaling>
        <c:delete val="0"/>
        <c:axPos val="b"/>
        <c:majorGridlines/>
        <c:numFmt formatCode="0%" sourceLinked="1"/>
        <c:majorTickMark val="out"/>
        <c:minorTickMark val="none"/>
        <c:tickLblPos val="nextTo"/>
        <c:crossAx val="590146176"/>
        <c:crosses val="autoZero"/>
        <c:crossBetween val="midCat"/>
        <c:majorUnit val="0.2"/>
      </c:valAx>
      <c:valAx>
        <c:axId val="590146176"/>
        <c:scaling>
          <c:orientation val="minMax"/>
        </c:scaling>
        <c:delete val="0"/>
        <c:axPos val="l"/>
        <c:majorGridlines/>
        <c:numFmt formatCode="#,##0.00" sourceLinked="1"/>
        <c:majorTickMark val="out"/>
        <c:minorTickMark val="none"/>
        <c:tickLblPos val="nextTo"/>
        <c:crossAx val="590144640"/>
        <c:crosses val="autoZero"/>
        <c:crossBetween val="midCat"/>
        <c:majorUnit val="0.25"/>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20815737133204E-2"/>
          <c:y val="0"/>
          <c:w val="0.91318820441562454"/>
          <c:h val="1"/>
        </c:manualLayout>
      </c:layout>
      <c:doughnutChart>
        <c:varyColors val="1"/>
        <c:ser>
          <c:idx val="0"/>
          <c:order val="0"/>
          <c:dPt>
            <c:idx val="0"/>
            <c:bubble3D val="0"/>
            <c:spPr>
              <a:noFill/>
            </c:spPr>
            <c:extLst>
              <c:ext xmlns:c16="http://schemas.microsoft.com/office/drawing/2014/chart" uri="{C3380CC4-5D6E-409C-BE32-E72D297353CC}">
                <c16:uniqueId val="{00000001-8712-4CA0-B6A4-BAF22EA100C9}"/>
              </c:ext>
            </c:extLst>
          </c:dPt>
          <c:dPt>
            <c:idx val="2"/>
            <c:bubble3D val="0"/>
            <c:spPr>
              <a:gradFill flip="none" rotWithShape="1">
                <a:gsLst>
                  <a:gs pos="0">
                    <a:srgbClr val="00B050"/>
                  </a:gs>
                  <a:gs pos="71000">
                    <a:srgbClr val="FF9966"/>
                  </a:gs>
                  <a:gs pos="38000">
                    <a:srgbClr val="FFFF99"/>
                  </a:gs>
                  <a:gs pos="100000">
                    <a:srgbClr val="FF0000"/>
                  </a:gs>
                </a:gsLst>
                <a:path path="circle">
                  <a:fillToRect t="100000" r="100000"/>
                </a:path>
                <a:tileRect l="-100000" b="-100000"/>
              </a:gradFill>
              <a:effectLst>
                <a:outerShdw blurRad="50800" dist="38100" dir="5400000" algn="t" rotWithShape="0">
                  <a:prstClr val="black">
                    <a:alpha val="40000"/>
                  </a:prstClr>
                </a:outerShdw>
              </a:effectLst>
            </c:spPr>
            <c:extLst>
              <c:ext xmlns:c16="http://schemas.microsoft.com/office/drawing/2014/chart" uri="{C3380CC4-5D6E-409C-BE32-E72D297353CC}">
                <c16:uniqueId val="{00000003-8712-4CA0-B6A4-BAF22EA100C9}"/>
              </c:ext>
            </c:extLst>
          </c:dPt>
          <c:val>
            <c:numRef>
              <c:f>Calculations!$K$204:$K$206</c:f>
              <c:numCache>
                <c:formatCode>General</c:formatCode>
                <c:ptCount val="3"/>
                <c:pt idx="0">
                  <c:v>180</c:v>
                </c:pt>
                <c:pt idx="1">
                  <c:v>0</c:v>
                </c:pt>
                <c:pt idx="2">
                  <c:v>180</c:v>
                </c:pt>
              </c:numCache>
            </c:numRef>
          </c:val>
          <c:extLst>
            <c:ext xmlns:c16="http://schemas.microsoft.com/office/drawing/2014/chart" uri="{C3380CC4-5D6E-409C-BE32-E72D297353CC}">
              <c16:uniqueId val="{00000004-8712-4CA0-B6A4-BAF22EA100C9}"/>
            </c:ext>
          </c:extLst>
        </c:ser>
        <c:dLbls>
          <c:showLegendKey val="0"/>
          <c:showVal val="0"/>
          <c:showCatName val="0"/>
          <c:showSerName val="0"/>
          <c:showPercent val="0"/>
          <c:showBubbleSize val="0"/>
          <c:showLeaderLines val="1"/>
        </c:dLbls>
        <c:firstSliceAng val="90"/>
        <c:holeSize val="81"/>
      </c:doughnutChart>
      <c:scatterChart>
        <c:scatterStyle val="lineMarker"/>
        <c:varyColors val="0"/>
        <c:ser>
          <c:idx val="1"/>
          <c:order val="1"/>
          <c:tx>
            <c:v>Arrow</c:v>
          </c:tx>
          <c:spPr>
            <a:effectLst>
              <a:outerShdw blurRad="50800" dist="38100" dir="5400000" algn="t" rotWithShape="0">
                <a:prstClr val="black">
                  <a:alpha val="40000"/>
                </a:prstClr>
              </a:outerShdw>
            </a:effectLst>
          </c:spPr>
          <c:marker>
            <c:symbol val="none"/>
          </c:marker>
          <c:dPt>
            <c:idx val="1"/>
            <c:bubble3D val="0"/>
            <c:spPr>
              <a:ln w="34925">
                <a:headEnd type="none"/>
                <a:tailEnd type="none" w="med" len="lg"/>
              </a:ln>
              <a:effectLst>
                <a:outerShdw blurRad="50800" dist="38100" dir="5400000" algn="t" rotWithShape="0">
                  <a:prstClr val="black">
                    <a:alpha val="40000"/>
                  </a:prstClr>
                </a:outerShdw>
              </a:effectLst>
            </c:spPr>
            <c:extLst>
              <c:ext xmlns:c16="http://schemas.microsoft.com/office/drawing/2014/chart" uri="{C3380CC4-5D6E-409C-BE32-E72D297353CC}">
                <c16:uniqueId val="{00000006-8712-4CA0-B6A4-BAF22EA100C9}"/>
              </c:ext>
            </c:extLst>
          </c:dPt>
          <c:xVal>
            <c:numRef>
              <c:f>Calculations!$I$204:$I$206</c:f>
              <c:numCache>
                <c:formatCode>General</c:formatCode>
                <c:ptCount val="3"/>
                <c:pt idx="0">
                  <c:v>0</c:v>
                </c:pt>
                <c:pt idx="1">
                  <c:v>-0.45954509395474491</c:v>
                </c:pt>
                <c:pt idx="2">
                  <c:v>0</c:v>
                </c:pt>
              </c:numCache>
            </c:numRef>
          </c:xVal>
          <c:yVal>
            <c:numRef>
              <c:f>Calculations!$J$204:$J$206</c:f>
              <c:numCache>
                <c:formatCode>General</c:formatCode>
                <c:ptCount val="3"/>
                <c:pt idx="0">
                  <c:v>0</c:v>
                </c:pt>
                <c:pt idx="1">
                  <c:v>0.88815443849711451</c:v>
                </c:pt>
                <c:pt idx="2">
                  <c:v>0</c:v>
                </c:pt>
              </c:numCache>
            </c:numRef>
          </c:yVal>
          <c:smooth val="0"/>
          <c:extLst>
            <c:ext xmlns:c16="http://schemas.microsoft.com/office/drawing/2014/chart" uri="{C3380CC4-5D6E-409C-BE32-E72D297353CC}">
              <c16:uniqueId val="{00000007-8712-4CA0-B6A4-BAF22EA100C9}"/>
            </c:ext>
          </c:extLst>
        </c:ser>
        <c:dLbls>
          <c:showLegendKey val="0"/>
          <c:showVal val="0"/>
          <c:showCatName val="0"/>
          <c:showSerName val="0"/>
          <c:showPercent val="0"/>
          <c:showBubbleSize val="0"/>
        </c:dLbls>
        <c:axId val="578835200"/>
        <c:axId val="578825216"/>
      </c:scatterChart>
      <c:valAx>
        <c:axId val="578825216"/>
        <c:scaling>
          <c:orientation val="minMax"/>
          <c:max val="1"/>
          <c:min val="-1"/>
        </c:scaling>
        <c:delete val="1"/>
        <c:axPos val="l"/>
        <c:numFmt formatCode="General" sourceLinked="1"/>
        <c:majorTickMark val="out"/>
        <c:minorTickMark val="none"/>
        <c:tickLblPos val="nextTo"/>
        <c:crossAx val="578835200"/>
        <c:crosses val="autoZero"/>
        <c:crossBetween val="midCat"/>
      </c:valAx>
      <c:valAx>
        <c:axId val="578835200"/>
        <c:scaling>
          <c:orientation val="minMax"/>
          <c:max val="1"/>
          <c:min val="-1"/>
        </c:scaling>
        <c:delete val="1"/>
        <c:axPos val="b"/>
        <c:numFmt formatCode="General" sourceLinked="1"/>
        <c:majorTickMark val="out"/>
        <c:minorTickMark val="none"/>
        <c:tickLblPos val="nextTo"/>
        <c:crossAx val="578825216"/>
        <c:crosses val="autoZero"/>
        <c:crossBetween val="midCat"/>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20815737133204E-2"/>
          <c:y val="0"/>
          <c:w val="0.91318820441562454"/>
          <c:h val="1"/>
        </c:manualLayout>
      </c:layout>
      <c:doughnutChart>
        <c:varyColors val="1"/>
        <c:ser>
          <c:idx val="0"/>
          <c:order val="0"/>
          <c:dPt>
            <c:idx val="0"/>
            <c:bubble3D val="0"/>
            <c:spPr>
              <a:noFill/>
            </c:spPr>
            <c:extLst>
              <c:ext xmlns:c16="http://schemas.microsoft.com/office/drawing/2014/chart" uri="{C3380CC4-5D6E-409C-BE32-E72D297353CC}">
                <c16:uniqueId val="{00000001-B695-443A-A3A4-E348845689EE}"/>
              </c:ext>
            </c:extLst>
          </c:dPt>
          <c:dPt>
            <c:idx val="2"/>
            <c:bubble3D val="0"/>
            <c:spPr>
              <a:gradFill flip="none" rotWithShape="1">
                <a:gsLst>
                  <a:gs pos="0">
                    <a:srgbClr val="00B050"/>
                  </a:gs>
                  <a:gs pos="71000">
                    <a:srgbClr val="FF9966"/>
                  </a:gs>
                  <a:gs pos="38000">
                    <a:srgbClr val="FFFF99"/>
                  </a:gs>
                  <a:gs pos="100000">
                    <a:srgbClr val="FF0000"/>
                  </a:gs>
                </a:gsLst>
                <a:path path="circle">
                  <a:fillToRect t="100000" r="100000"/>
                </a:path>
                <a:tileRect l="-100000" b="-100000"/>
              </a:gradFill>
              <a:effectLst>
                <a:outerShdw blurRad="50800" dist="38100" dir="5400000" algn="t" rotWithShape="0">
                  <a:prstClr val="black">
                    <a:alpha val="40000"/>
                  </a:prstClr>
                </a:outerShdw>
              </a:effectLst>
            </c:spPr>
            <c:extLst>
              <c:ext xmlns:c16="http://schemas.microsoft.com/office/drawing/2014/chart" uri="{C3380CC4-5D6E-409C-BE32-E72D297353CC}">
                <c16:uniqueId val="{00000003-B695-443A-A3A4-E348845689EE}"/>
              </c:ext>
            </c:extLst>
          </c:dPt>
          <c:val>
            <c:numRef>
              <c:f>Calculations!$K$210:$K$212</c:f>
              <c:numCache>
                <c:formatCode>General</c:formatCode>
                <c:ptCount val="3"/>
                <c:pt idx="0">
                  <c:v>180</c:v>
                </c:pt>
                <c:pt idx="1">
                  <c:v>0</c:v>
                </c:pt>
                <c:pt idx="2">
                  <c:v>180</c:v>
                </c:pt>
              </c:numCache>
            </c:numRef>
          </c:val>
          <c:extLst>
            <c:ext xmlns:c16="http://schemas.microsoft.com/office/drawing/2014/chart" uri="{C3380CC4-5D6E-409C-BE32-E72D297353CC}">
              <c16:uniqueId val="{00000004-B695-443A-A3A4-E348845689EE}"/>
            </c:ext>
          </c:extLst>
        </c:ser>
        <c:dLbls>
          <c:showLegendKey val="0"/>
          <c:showVal val="0"/>
          <c:showCatName val="0"/>
          <c:showSerName val="0"/>
          <c:showPercent val="0"/>
          <c:showBubbleSize val="0"/>
          <c:showLeaderLines val="1"/>
        </c:dLbls>
        <c:firstSliceAng val="90"/>
        <c:holeSize val="81"/>
      </c:doughnutChart>
      <c:scatterChart>
        <c:scatterStyle val="lineMarker"/>
        <c:varyColors val="0"/>
        <c:ser>
          <c:idx val="1"/>
          <c:order val="1"/>
          <c:spPr>
            <a:effectLst>
              <a:outerShdw blurRad="50800" dist="38100" dir="5400000" algn="t" rotWithShape="0">
                <a:prstClr val="black">
                  <a:alpha val="40000"/>
                </a:prstClr>
              </a:outerShdw>
            </a:effectLst>
          </c:spPr>
          <c:marker>
            <c:symbol val="none"/>
          </c:marker>
          <c:dPt>
            <c:idx val="1"/>
            <c:bubble3D val="0"/>
            <c:spPr>
              <a:ln w="34925">
                <a:headEnd type="none"/>
                <a:tailEnd type="none" w="med" len="lg"/>
              </a:ln>
              <a:effectLst>
                <a:outerShdw blurRad="50800" dist="38100" dir="5400000" algn="t" rotWithShape="0">
                  <a:prstClr val="black">
                    <a:alpha val="40000"/>
                  </a:prstClr>
                </a:outerShdw>
              </a:effectLst>
            </c:spPr>
            <c:extLst>
              <c:ext xmlns:c16="http://schemas.microsoft.com/office/drawing/2014/chart" uri="{C3380CC4-5D6E-409C-BE32-E72D297353CC}">
                <c16:uniqueId val="{00000006-B695-443A-A3A4-E348845689EE}"/>
              </c:ext>
            </c:extLst>
          </c:dPt>
          <c:xVal>
            <c:numRef>
              <c:f>Calculations!$I$210:$I$212</c:f>
              <c:numCache>
                <c:formatCode>General</c:formatCode>
                <c:ptCount val="3"/>
                <c:pt idx="0">
                  <c:v>0</c:v>
                </c:pt>
                <c:pt idx="1">
                  <c:v>-0.36773835104659025</c:v>
                </c:pt>
                <c:pt idx="2">
                  <c:v>0</c:v>
                </c:pt>
              </c:numCache>
            </c:numRef>
          </c:xVal>
          <c:yVal>
            <c:numRef>
              <c:f>Calculations!$J$210:$J$212</c:f>
              <c:numCache>
                <c:formatCode>General</c:formatCode>
                <c:ptCount val="3"/>
                <c:pt idx="0">
                  <c:v>0</c:v>
                </c:pt>
                <c:pt idx="1">
                  <c:v>0.92992930116731709</c:v>
                </c:pt>
                <c:pt idx="2">
                  <c:v>0</c:v>
                </c:pt>
              </c:numCache>
            </c:numRef>
          </c:yVal>
          <c:smooth val="0"/>
          <c:extLst>
            <c:ext xmlns:c16="http://schemas.microsoft.com/office/drawing/2014/chart" uri="{C3380CC4-5D6E-409C-BE32-E72D297353CC}">
              <c16:uniqueId val="{00000007-B695-443A-A3A4-E348845689EE}"/>
            </c:ext>
          </c:extLst>
        </c:ser>
        <c:dLbls>
          <c:showLegendKey val="0"/>
          <c:showVal val="0"/>
          <c:showCatName val="0"/>
          <c:showSerName val="0"/>
          <c:showPercent val="0"/>
          <c:showBubbleSize val="0"/>
        </c:dLbls>
        <c:axId val="579076864"/>
        <c:axId val="578870272"/>
      </c:scatterChart>
      <c:valAx>
        <c:axId val="578870272"/>
        <c:scaling>
          <c:orientation val="minMax"/>
          <c:max val="1"/>
          <c:min val="-1"/>
        </c:scaling>
        <c:delete val="1"/>
        <c:axPos val="l"/>
        <c:numFmt formatCode="General" sourceLinked="1"/>
        <c:majorTickMark val="out"/>
        <c:minorTickMark val="none"/>
        <c:tickLblPos val="nextTo"/>
        <c:crossAx val="579076864"/>
        <c:crosses val="autoZero"/>
        <c:crossBetween val="midCat"/>
      </c:valAx>
      <c:valAx>
        <c:axId val="579076864"/>
        <c:scaling>
          <c:orientation val="minMax"/>
          <c:max val="1"/>
          <c:min val="-1"/>
        </c:scaling>
        <c:delete val="1"/>
        <c:axPos val="b"/>
        <c:numFmt formatCode="General" sourceLinked="1"/>
        <c:majorTickMark val="out"/>
        <c:minorTickMark val="none"/>
        <c:tickLblPos val="nextTo"/>
        <c:crossAx val="578870272"/>
        <c:crosses val="autoZero"/>
        <c:crossBetween val="midCat"/>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10196942056593"/>
          <c:y val="0.3072082452297446"/>
          <c:w val="0.75643002011112248"/>
          <c:h val="0.64307698181087303"/>
        </c:manualLayout>
      </c:layout>
      <c:barChart>
        <c:barDir val="col"/>
        <c:grouping val="clustered"/>
        <c:varyColors val="0"/>
        <c:ser>
          <c:idx val="0"/>
          <c:order val="0"/>
          <c:tx>
            <c:strRef>
              <c:f>'Benchmark-Energy'!$N$59</c:f>
              <c:strCache>
                <c:ptCount val="1"/>
                <c:pt idx="0">
                  <c:v>Total thermal input</c:v>
                </c:pt>
              </c:strCache>
            </c:strRef>
          </c:tx>
          <c:spPr>
            <a:solidFill>
              <a:srgbClr val="FF0000"/>
            </a:solidFill>
            <a:ln>
              <a:solidFill>
                <a:schemeClr val="tx1"/>
              </a:solidFill>
            </a:ln>
          </c:spPr>
          <c:invertIfNegative val="0"/>
          <c:val>
            <c:numRef>
              <c:f>'Benchmark-Energy'!$P$59:$AA$59</c:f>
              <c:numCache>
                <c:formatCode>0%;\-0%;"-"</c:formatCode>
                <c:ptCount val="12"/>
                <c:pt idx="0">
                  <c:v>4.8469741033097908E-3</c:v>
                </c:pt>
                <c:pt idx="1">
                  <c:v>6.159811660434842E-2</c:v>
                </c:pt>
                <c:pt idx="2">
                  <c:v>3.6006093338872723E-3</c:v>
                </c:pt>
                <c:pt idx="3">
                  <c:v>0.102122776821572</c:v>
                </c:pt>
                <c:pt idx="4">
                  <c:v>0.77171741151799311</c:v>
                </c:pt>
                <c:pt idx="5">
                  <c:v>7.7551585652956634E-3</c:v>
                </c:pt>
                <c:pt idx="6">
                  <c:v>4.431519180168951E-3</c:v>
                </c:pt>
                <c:pt idx="7">
                  <c:v>3.6006093338872723E-3</c:v>
                </c:pt>
                <c:pt idx="8">
                  <c:v>1.5233347181830771E-3</c:v>
                </c:pt>
                <c:pt idx="9">
                  <c:v>3.6255366292757239E-2</c:v>
                </c:pt>
                <c:pt idx="10">
                  <c:v>1.8556986566957484E-3</c:v>
                </c:pt>
                <c:pt idx="11">
                  <c:v>6.9242487190139849E-4</c:v>
                </c:pt>
              </c:numCache>
            </c:numRef>
          </c:val>
          <c:extLst>
            <c:ext xmlns:c16="http://schemas.microsoft.com/office/drawing/2014/chart" uri="{C3380CC4-5D6E-409C-BE32-E72D297353CC}">
              <c16:uniqueId val="{00000000-3EFA-46C4-9920-AA34A3ED58BE}"/>
            </c:ext>
          </c:extLst>
        </c:ser>
        <c:ser>
          <c:idx val="1"/>
          <c:order val="1"/>
          <c:tx>
            <c:strRef>
              <c:f>'Benchmark-Energy'!$N$60</c:f>
              <c:strCache>
                <c:ptCount val="1"/>
                <c:pt idx="0">
                  <c:v>Total electricity input</c:v>
                </c:pt>
              </c:strCache>
            </c:strRef>
          </c:tx>
          <c:spPr>
            <a:solidFill>
              <a:srgbClr val="FFFF00"/>
            </a:solidFill>
            <a:ln>
              <a:solidFill>
                <a:schemeClr val="tx1"/>
              </a:solidFill>
            </a:ln>
          </c:spPr>
          <c:invertIfNegative val="0"/>
          <c:val>
            <c:numRef>
              <c:f>'Benchmark-Energy'!$P$60:$AA$60</c:f>
              <c:numCache>
                <c:formatCode>0%;\-0%;"-"</c:formatCode>
                <c:ptCount val="12"/>
                <c:pt idx="0">
                  <c:v>1.3418079096045197E-2</c:v>
                </c:pt>
                <c:pt idx="1">
                  <c:v>4.3079096045197739E-2</c:v>
                </c:pt>
                <c:pt idx="2">
                  <c:v>2.6129943502824857E-2</c:v>
                </c:pt>
                <c:pt idx="3">
                  <c:v>2.6129943502824857E-2</c:v>
                </c:pt>
                <c:pt idx="4">
                  <c:v>4.3079096045197739E-2</c:v>
                </c:pt>
                <c:pt idx="5">
                  <c:v>2.6129943502824857E-2</c:v>
                </c:pt>
                <c:pt idx="6">
                  <c:v>2.6129943502824857E-2</c:v>
                </c:pt>
                <c:pt idx="7">
                  <c:v>2.6129943502824857E-2</c:v>
                </c:pt>
                <c:pt idx="8">
                  <c:v>0.15324858757062146</c:v>
                </c:pt>
                <c:pt idx="9">
                  <c:v>4.3079096045197739E-2</c:v>
                </c:pt>
                <c:pt idx="10">
                  <c:v>1.7655367231638415E-2</c:v>
                </c:pt>
                <c:pt idx="11">
                  <c:v>0.5557909604519774</c:v>
                </c:pt>
              </c:numCache>
            </c:numRef>
          </c:val>
          <c:extLst>
            <c:ext xmlns:c16="http://schemas.microsoft.com/office/drawing/2014/chart" uri="{C3380CC4-5D6E-409C-BE32-E72D297353CC}">
              <c16:uniqueId val="{00000001-3EFA-46C4-9920-AA34A3ED58BE}"/>
            </c:ext>
          </c:extLst>
        </c:ser>
        <c:dLbls>
          <c:showLegendKey val="0"/>
          <c:showVal val="0"/>
          <c:showCatName val="0"/>
          <c:showSerName val="0"/>
          <c:showPercent val="0"/>
          <c:showBubbleSize val="0"/>
        </c:dLbls>
        <c:gapWidth val="20"/>
        <c:axId val="587009408"/>
        <c:axId val="587854976"/>
      </c:barChart>
      <c:catAx>
        <c:axId val="587009408"/>
        <c:scaling>
          <c:orientation val="minMax"/>
        </c:scaling>
        <c:delete val="1"/>
        <c:axPos val="b"/>
        <c:majorTickMark val="out"/>
        <c:minorTickMark val="none"/>
        <c:tickLblPos val="nextTo"/>
        <c:crossAx val="587854976"/>
        <c:crosses val="autoZero"/>
        <c:auto val="1"/>
        <c:lblAlgn val="ctr"/>
        <c:lblOffset val="100"/>
        <c:noMultiLvlLbl val="0"/>
      </c:catAx>
      <c:valAx>
        <c:axId val="587854976"/>
        <c:scaling>
          <c:orientation val="minMax"/>
          <c:max val="1"/>
          <c:min val="0"/>
        </c:scaling>
        <c:delete val="0"/>
        <c:axPos val="l"/>
        <c:majorGridlines/>
        <c:numFmt formatCode="0%;\-0%;&quot;-&quot;" sourceLinked="1"/>
        <c:majorTickMark val="out"/>
        <c:minorTickMark val="none"/>
        <c:tickLblPos val="nextTo"/>
        <c:crossAx val="587009408"/>
        <c:crosses val="autoZero"/>
        <c:crossBetween val="between"/>
      </c:valAx>
    </c:plotArea>
    <c:legend>
      <c:legendPos val="l"/>
      <c:layout>
        <c:manualLayout>
          <c:xMode val="edge"/>
          <c:yMode val="edge"/>
          <c:x val="6.4935091433436259E-2"/>
          <c:y val="0.48518160390403581"/>
          <c:w val="0.11601458908545523"/>
          <c:h val="0.29074733239325884"/>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10200842067363"/>
          <c:y val="0.27335514237295588"/>
          <c:w val="0.75643002011112248"/>
          <c:h val="0.64307698181087303"/>
        </c:manualLayout>
      </c:layout>
      <c:barChart>
        <c:barDir val="col"/>
        <c:grouping val="clustered"/>
        <c:varyColors val="0"/>
        <c:ser>
          <c:idx val="0"/>
          <c:order val="0"/>
          <c:tx>
            <c:strRef>
              <c:f>'Benchmark-Energy'!$AK$59</c:f>
              <c:strCache>
                <c:ptCount val="1"/>
                <c:pt idx="0">
                  <c:v>Total thermal input</c:v>
                </c:pt>
              </c:strCache>
            </c:strRef>
          </c:tx>
          <c:spPr>
            <a:solidFill>
              <a:srgbClr val="FF0000"/>
            </a:solidFill>
            <a:ln>
              <a:solidFill>
                <a:schemeClr val="tx1"/>
              </a:solidFill>
            </a:ln>
          </c:spPr>
          <c:invertIfNegative val="0"/>
          <c:val>
            <c:numRef>
              <c:f>'Benchmark-Energy'!$AM$59:$AX$59</c:f>
              <c:numCache>
                <c:formatCode>0%;\-0%;"-"</c:formatCode>
                <c:ptCount val="12"/>
                <c:pt idx="0">
                  <c:v>2.8250255925663437E-2</c:v>
                </c:pt>
                <c:pt idx="1">
                  <c:v>0.30510276399716518</c:v>
                </c:pt>
                <c:pt idx="2">
                  <c:v>1.8564453894007401E-2</c:v>
                </c:pt>
                <c:pt idx="3">
                  <c:v>0.20737853374281437</c:v>
                </c:pt>
                <c:pt idx="4">
                  <c:v>0</c:v>
                </c:pt>
                <c:pt idx="5">
                  <c:v>5.2464761004803517E-2</c:v>
                </c:pt>
                <c:pt idx="6">
                  <c:v>3.3093156941491453E-2</c:v>
                </c:pt>
                <c:pt idx="7">
                  <c:v>8.878651862351367E-3</c:v>
                </c:pt>
                <c:pt idx="8">
                  <c:v>6.4572013544373563E-3</c:v>
                </c:pt>
                <c:pt idx="9">
                  <c:v>0.32495865816205999</c:v>
                </c:pt>
                <c:pt idx="10">
                  <c:v>1.0815812268682569E-2</c:v>
                </c:pt>
                <c:pt idx="11">
                  <c:v>4.0357508465233474E-3</c:v>
                </c:pt>
              </c:numCache>
            </c:numRef>
          </c:val>
          <c:extLst>
            <c:ext xmlns:c16="http://schemas.microsoft.com/office/drawing/2014/chart" uri="{C3380CC4-5D6E-409C-BE32-E72D297353CC}">
              <c16:uniqueId val="{00000000-A27E-47C3-8091-45E065C6E605}"/>
            </c:ext>
          </c:extLst>
        </c:ser>
        <c:ser>
          <c:idx val="1"/>
          <c:order val="1"/>
          <c:tx>
            <c:strRef>
              <c:f>'Benchmark-Energy'!$AK$60</c:f>
              <c:strCache>
                <c:ptCount val="1"/>
                <c:pt idx="0">
                  <c:v>Total electricity input</c:v>
                </c:pt>
              </c:strCache>
            </c:strRef>
          </c:tx>
          <c:spPr>
            <a:solidFill>
              <a:srgbClr val="FFFF00"/>
            </a:solidFill>
            <a:ln>
              <a:solidFill>
                <a:schemeClr val="tx1"/>
              </a:solidFill>
            </a:ln>
          </c:spPr>
          <c:invertIfNegative val="0"/>
          <c:val>
            <c:numRef>
              <c:f>'Benchmark-Energy'!$AM$60:$AX$60</c:f>
              <c:numCache>
                <c:formatCode>0%;\-0%;"-"</c:formatCode>
                <c:ptCount val="12"/>
                <c:pt idx="0">
                  <c:v>1.3418079096045197E-2</c:v>
                </c:pt>
                <c:pt idx="1">
                  <c:v>5.1553672316384178E-2</c:v>
                </c:pt>
                <c:pt idx="2">
                  <c:v>2.6129943502824857E-2</c:v>
                </c:pt>
                <c:pt idx="3">
                  <c:v>6.4406779661016949E-3</c:v>
                </c:pt>
                <c:pt idx="4">
                  <c:v>0</c:v>
                </c:pt>
                <c:pt idx="5">
                  <c:v>2.4774011299435024E-2</c:v>
                </c:pt>
                <c:pt idx="6">
                  <c:v>2.6129943502824857E-2</c:v>
                </c:pt>
                <c:pt idx="7">
                  <c:v>2.6129943502824857E-2</c:v>
                </c:pt>
                <c:pt idx="8">
                  <c:v>0.16596045197740111</c:v>
                </c:pt>
                <c:pt idx="9">
                  <c:v>5.875706214689265E-2</c:v>
                </c:pt>
                <c:pt idx="10">
                  <c:v>4.4999999999999998E-2</c:v>
                </c:pt>
                <c:pt idx="11">
                  <c:v>0.5557909604519774</c:v>
                </c:pt>
              </c:numCache>
            </c:numRef>
          </c:val>
          <c:extLst>
            <c:ext xmlns:c16="http://schemas.microsoft.com/office/drawing/2014/chart" uri="{C3380CC4-5D6E-409C-BE32-E72D297353CC}">
              <c16:uniqueId val="{00000001-A27E-47C3-8091-45E065C6E605}"/>
            </c:ext>
          </c:extLst>
        </c:ser>
        <c:dLbls>
          <c:showLegendKey val="0"/>
          <c:showVal val="0"/>
          <c:showCatName val="0"/>
          <c:showSerName val="0"/>
          <c:showPercent val="0"/>
          <c:showBubbleSize val="0"/>
        </c:dLbls>
        <c:gapWidth val="20"/>
        <c:axId val="589522432"/>
        <c:axId val="589523968"/>
      </c:barChart>
      <c:catAx>
        <c:axId val="589522432"/>
        <c:scaling>
          <c:orientation val="minMax"/>
        </c:scaling>
        <c:delete val="1"/>
        <c:axPos val="b"/>
        <c:majorTickMark val="out"/>
        <c:minorTickMark val="none"/>
        <c:tickLblPos val="nextTo"/>
        <c:crossAx val="589523968"/>
        <c:crosses val="autoZero"/>
        <c:auto val="1"/>
        <c:lblAlgn val="ctr"/>
        <c:lblOffset val="100"/>
        <c:noMultiLvlLbl val="0"/>
      </c:catAx>
      <c:valAx>
        <c:axId val="589523968"/>
        <c:scaling>
          <c:orientation val="minMax"/>
          <c:max val="1"/>
          <c:min val="0"/>
        </c:scaling>
        <c:delete val="0"/>
        <c:axPos val="l"/>
        <c:majorGridlines/>
        <c:numFmt formatCode="0%;\-0%;&quot;-&quot;" sourceLinked="1"/>
        <c:majorTickMark val="out"/>
        <c:minorTickMark val="none"/>
        <c:tickLblPos val="nextTo"/>
        <c:crossAx val="589522432"/>
        <c:crosses val="autoZero"/>
        <c:crossBetween val="between"/>
      </c:valAx>
    </c:plotArea>
    <c:legend>
      <c:legendPos val="l"/>
      <c:layout>
        <c:manualLayout>
          <c:xMode val="edge"/>
          <c:yMode val="edge"/>
          <c:x val="7.1247538275151664E-2"/>
          <c:y val="0.35558886072980095"/>
          <c:w val="0.11601458908545523"/>
          <c:h val="0.29074733239325884"/>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30864197530861E-2"/>
          <c:y val="9.1046152077705611E-2"/>
          <c:w val="0.88490740740740736"/>
          <c:h val="0.90895384792229439"/>
        </c:manualLayout>
      </c:layout>
      <c:barChart>
        <c:barDir val="bar"/>
        <c:grouping val="clustered"/>
        <c:varyColors val="0"/>
        <c:ser>
          <c:idx val="0"/>
          <c:order val="0"/>
          <c:tx>
            <c:strRef>
              <c:f>'Benchmark-Energy'!$AB$75</c:f>
              <c:strCache>
                <c:ptCount val="1"/>
                <c:pt idx="0">
                  <c:v>Benchmark</c:v>
                </c:pt>
              </c:strCache>
            </c:strRef>
          </c:tx>
          <c:invertIfNegative val="0"/>
          <c:cat>
            <c:strRef>
              <c:f>'Benchmark-Energy'!$N$77:$N$93</c:f>
              <c:strCache>
                <c:ptCount val="7"/>
                <c:pt idx="0">
                  <c:v>A</c:v>
                </c:pt>
                <c:pt idx="1">
                  <c:v>B</c:v>
                </c:pt>
                <c:pt idx="2">
                  <c:v>B</c:v>
                </c:pt>
                <c:pt idx="3">
                  <c:v>C</c:v>
                </c:pt>
                <c:pt idx="4">
                  <c:v>C</c:v>
                </c:pt>
                <c:pt idx="5">
                  <c:v>D</c:v>
                </c:pt>
                <c:pt idx="6">
                  <c:v>D</c:v>
                </c:pt>
              </c:strCache>
            </c:strRef>
          </c:cat>
          <c:val>
            <c:numRef>
              <c:f>'Benchmark-Energy'!$AB$76:$AB$93</c:f>
              <c:numCache>
                <c:formatCode>0</c:formatCode>
                <c:ptCount val="18"/>
                <c:pt idx="0">
                  <c:v>2325.5961778147075</c:v>
                </c:pt>
                <c:pt idx="1">
                  <c:v>250.28460451977401</c:v>
                </c:pt>
                <c:pt idx="2">
                  <c:v>2334</c:v>
                </c:pt>
                <c:pt idx="3">
                  <c:v>257</c:v>
                </c:pt>
                <c:pt idx="4">
                  <c:v>2334</c:v>
                </c:pt>
                <c:pt idx="5">
                  <c:v>257</c:v>
                </c:pt>
                <c:pt idx="6">
                  <c:v>2334</c:v>
                </c:pt>
                <c:pt idx="7">
                  <c:v>257</c:v>
                </c:pt>
                <c:pt idx="8">
                  <c:v>#N/A</c:v>
                </c:pt>
                <c:pt idx="9">
                  <c:v>#N/A</c:v>
                </c:pt>
                <c:pt idx="10">
                  <c:v>#N/A</c:v>
                </c:pt>
                <c:pt idx="11">
                  <c:v>#N/A</c:v>
                </c:pt>
                <c:pt idx="12">
                  <c:v>#N/A</c:v>
                </c:pt>
                <c:pt idx="13">
                  <c:v>#N/A</c:v>
                </c:pt>
                <c:pt idx="14">
                  <c:v>#N/A</c:v>
                </c:pt>
                <c:pt idx="15">
                  <c:v>#N/A</c:v>
                </c:pt>
                <c:pt idx="16">
                  <c:v>#N/A</c:v>
                </c:pt>
                <c:pt idx="17">
                  <c:v>#N/A</c:v>
                </c:pt>
              </c:numCache>
            </c:numRef>
          </c:val>
          <c:extLst>
            <c:ext xmlns:c16="http://schemas.microsoft.com/office/drawing/2014/chart" uri="{C3380CC4-5D6E-409C-BE32-E72D297353CC}">
              <c16:uniqueId val="{00000000-BDED-484E-9F54-6030B3CB9384}"/>
            </c:ext>
          </c:extLst>
        </c:ser>
        <c:ser>
          <c:idx val="1"/>
          <c:order val="1"/>
          <c:tx>
            <c:strRef>
              <c:f>'Benchmark-Energy'!$AC$75</c:f>
              <c:strCache>
                <c:ptCount val="1"/>
                <c:pt idx="0">
                  <c:v>Actual</c:v>
                </c:pt>
              </c:strCache>
            </c:strRef>
          </c:tx>
          <c:invertIfNegative val="0"/>
          <c:cat>
            <c:strRef>
              <c:f>'Benchmark-Energy'!$N$77:$N$93</c:f>
              <c:strCache>
                <c:ptCount val="7"/>
                <c:pt idx="0">
                  <c:v>A</c:v>
                </c:pt>
                <c:pt idx="1">
                  <c:v>B</c:v>
                </c:pt>
                <c:pt idx="2">
                  <c:v>B</c:v>
                </c:pt>
                <c:pt idx="3">
                  <c:v>C</c:v>
                </c:pt>
                <c:pt idx="4">
                  <c:v>C</c:v>
                </c:pt>
                <c:pt idx="5">
                  <c:v>D</c:v>
                </c:pt>
                <c:pt idx="6">
                  <c:v>D</c:v>
                </c:pt>
              </c:strCache>
            </c:strRef>
          </c:cat>
          <c:val>
            <c:numRef>
              <c:f>'Benchmark-Energy'!$AC$76:$AC$93</c:f>
              <c:numCache>
                <c:formatCode>0</c:formatCode>
                <c:ptCount val="18"/>
                <c:pt idx="0">
                  <c:v>3730</c:v>
                </c:pt>
                <c:pt idx="1">
                  <c:v>251</c:v>
                </c:pt>
                <c:pt idx="2">
                  <c:v>1819</c:v>
                </c:pt>
                <c:pt idx="3">
                  <c:v>243</c:v>
                </c:pt>
                <c:pt idx="4">
                  <c:v>2236</c:v>
                </c:pt>
                <c:pt idx="5">
                  <c:v>297</c:v>
                </c:pt>
                <c:pt idx="6">
                  <c:v>2115</c:v>
                </c:pt>
                <c:pt idx="7">
                  <c:v>255</c:v>
                </c:pt>
              </c:numCache>
            </c:numRef>
          </c:val>
          <c:extLst>
            <c:ext xmlns:c16="http://schemas.microsoft.com/office/drawing/2014/chart" uri="{C3380CC4-5D6E-409C-BE32-E72D297353CC}">
              <c16:uniqueId val="{00000001-BDED-484E-9F54-6030B3CB9384}"/>
            </c:ext>
          </c:extLst>
        </c:ser>
        <c:dLbls>
          <c:showLegendKey val="0"/>
          <c:showVal val="0"/>
          <c:showCatName val="0"/>
          <c:showSerName val="0"/>
          <c:showPercent val="0"/>
          <c:showBubbleSize val="0"/>
        </c:dLbls>
        <c:gapWidth val="20"/>
        <c:axId val="589540352"/>
        <c:axId val="590365440"/>
      </c:barChart>
      <c:catAx>
        <c:axId val="589540352"/>
        <c:scaling>
          <c:orientation val="maxMin"/>
        </c:scaling>
        <c:delete val="1"/>
        <c:axPos val="l"/>
        <c:numFmt formatCode="General" sourceLinked="0"/>
        <c:majorTickMark val="out"/>
        <c:minorTickMark val="none"/>
        <c:tickLblPos val="nextTo"/>
        <c:crossAx val="590365440"/>
        <c:crosses val="autoZero"/>
        <c:auto val="1"/>
        <c:lblAlgn val="ctr"/>
        <c:lblOffset val="100"/>
        <c:noMultiLvlLbl val="0"/>
      </c:catAx>
      <c:valAx>
        <c:axId val="590365440"/>
        <c:scaling>
          <c:orientation val="minMax"/>
        </c:scaling>
        <c:delete val="0"/>
        <c:axPos val="t"/>
        <c:majorGridlines/>
        <c:numFmt formatCode="#,##0;\-#,##0;&quot;-&quot;" sourceLinked="0"/>
        <c:majorTickMark val="out"/>
        <c:minorTickMark val="none"/>
        <c:tickLblPos val="nextTo"/>
        <c:crossAx val="5895403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30864197530861E-2"/>
          <c:y val="9.1046152077705611E-2"/>
          <c:w val="0.88490740740740736"/>
          <c:h val="0.90895384792229439"/>
        </c:manualLayout>
      </c:layout>
      <c:barChart>
        <c:barDir val="bar"/>
        <c:grouping val="clustered"/>
        <c:varyColors val="0"/>
        <c:ser>
          <c:idx val="0"/>
          <c:order val="0"/>
          <c:tx>
            <c:strRef>
              <c:f>'Benchmark-Energy'!$AY$75</c:f>
              <c:strCache>
                <c:ptCount val="1"/>
                <c:pt idx="0">
                  <c:v>Benchmark</c:v>
                </c:pt>
              </c:strCache>
            </c:strRef>
          </c:tx>
          <c:invertIfNegative val="0"/>
          <c:cat>
            <c:strRef>
              <c:f>'Benchmark-Energy'!$N$77:$N$93</c:f>
              <c:strCache>
                <c:ptCount val="7"/>
                <c:pt idx="0">
                  <c:v>A</c:v>
                </c:pt>
                <c:pt idx="1">
                  <c:v>B</c:v>
                </c:pt>
                <c:pt idx="2">
                  <c:v>B</c:v>
                </c:pt>
                <c:pt idx="3">
                  <c:v>C</c:v>
                </c:pt>
                <c:pt idx="4">
                  <c:v>C</c:v>
                </c:pt>
                <c:pt idx="5">
                  <c:v>D</c:v>
                </c:pt>
                <c:pt idx="6">
                  <c:v>D</c:v>
                </c:pt>
              </c:strCache>
            </c:strRef>
          </c:cat>
          <c:val>
            <c:numRef>
              <c:f>'Benchmark-Energy'!$AY$76:$AY$93</c:f>
              <c:numCache>
                <c:formatCode>0</c:formatCode>
                <c:ptCount val="18"/>
                <c:pt idx="0">
                  <c:v>1581.7127805339005</c:v>
                </c:pt>
                <c:pt idx="1">
                  <c:v>223.98483179391579</c:v>
                </c:pt>
                <c:pt idx="2">
                  <c:v>406.91991495393347</c:v>
                </c:pt>
                <c:pt idx="3">
                  <c:v>33.029686749710471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numCache>
            </c:numRef>
          </c:val>
          <c:extLst>
            <c:ext xmlns:c16="http://schemas.microsoft.com/office/drawing/2014/chart" uri="{C3380CC4-5D6E-409C-BE32-E72D297353CC}">
              <c16:uniqueId val="{00000000-7C5E-455A-9566-6F765622FC12}"/>
            </c:ext>
          </c:extLst>
        </c:ser>
        <c:ser>
          <c:idx val="1"/>
          <c:order val="1"/>
          <c:tx>
            <c:strRef>
              <c:f>'Benchmark-Energy'!$AZ$75</c:f>
              <c:strCache>
                <c:ptCount val="1"/>
                <c:pt idx="0">
                  <c:v>Actual</c:v>
                </c:pt>
              </c:strCache>
            </c:strRef>
          </c:tx>
          <c:invertIfNegative val="0"/>
          <c:cat>
            <c:strRef>
              <c:f>'Benchmark-Energy'!$N$77:$N$93</c:f>
              <c:strCache>
                <c:ptCount val="7"/>
                <c:pt idx="0">
                  <c:v>A</c:v>
                </c:pt>
                <c:pt idx="1">
                  <c:v>B</c:v>
                </c:pt>
                <c:pt idx="2">
                  <c:v>B</c:v>
                </c:pt>
                <c:pt idx="3">
                  <c:v>C</c:v>
                </c:pt>
                <c:pt idx="4">
                  <c:v>C</c:v>
                </c:pt>
                <c:pt idx="5">
                  <c:v>D</c:v>
                </c:pt>
                <c:pt idx="6">
                  <c:v>D</c:v>
                </c:pt>
              </c:strCache>
            </c:strRef>
          </c:cat>
          <c:val>
            <c:numRef>
              <c:f>'Benchmark-Energy'!$AZ$76:$AZ$93</c:f>
              <c:numCache>
                <c:formatCode>0</c:formatCode>
                <c:ptCount val="18"/>
                <c:pt idx="0">
                  <c:v>1570</c:v>
                </c:pt>
                <c:pt idx="1">
                  <c:v>363</c:v>
                </c:pt>
                <c:pt idx="2">
                  <c:v>380</c:v>
                </c:pt>
                <c:pt idx="3">
                  <c:v>63</c:v>
                </c:pt>
              </c:numCache>
            </c:numRef>
          </c:val>
          <c:extLst>
            <c:ext xmlns:c16="http://schemas.microsoft.com/office/drawing/2014/chart" uri="{C3380CC4-5D6E-409C-BE32-E72D297353CC}">
              <c16:uniqueId val="{00000001-7C5E-455A-9566-6F765622FC12}"/>
            </c:ext>
          </c:extLst>
        </c:ser>
        <c:dLbls>
          <c:showLegendKey val="0"/>
          <c:showVal val="0"/>
          <c:showCatName val="0"/>
          <c:showSerName val="0"/>
          <c:showPercent val="0"/>
          <c:showBubbleSize val="0"/>
        </c:dLbls>
        <c:gapWidth val="20"/>
        <c:axId val="590178176"/>
        <c:axId val="590179712"/>
      </c:barChart>
      <c:catAx>
        <c:axId val="590178176"/>
        <c:scaling>
          <c:orientation val="maxMin"/>
        </c:scaling>
        <c:delete val="1"/>
        <c:axPos val="l"/>
        <c:numFmt formatCode="General" sourceLinked="0"/>
        <c:majorTickMark val="out"/>
        <c:minorTickMark val="none"/>
        <c:tickLblPos val="nextTo"/>
        <c:crossAx val="590179712"/>
        <c:crosses val="autoZero"/>
        <c:auto val="1"/>
        <c:lblAlgn val="ctr"/>
        <c:lblOffset val="100"/>
        <c:noMultiLvlLbl val="0"/>
      </c:catAx>
      <c:valAx>
        <c:axId val="590179712"/>
        <c:scaling>
          <c:orientation val="minMax"/>
        </c:scaling>
        <c:delete val="0"/>
        <c:axPos val="t"/>
        <c:majorGridlines/>
        <c:numFmt formatCode="#,##0;\-#,##0;&quot;-&quot;" sourceLinked="0"/>
        <c:majorTickMark val="out"/>
        <c:minorTickMark val="none"/>
        <c:tickLblPos val="nextTo"/>
        <c:crossAx val="59017817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'Benchmark-Water'!$AB$66</c:f>
              <c:strCache>
                <c:ptCount val="1"/>
                <c:pt idx="0">
                  <c:v>Benchmark</c:v>
                </c:pt>
              </c:strCache>
            </c:strRef>
          </c:tx>
          <c:invertIfNegative val="0"/>
          <c:cat>
            <c:strRef>
              <c:f>'Benchmark-Water'!$N$67:$N$76</c:f>
              <c:strCache>
                <c:ptCount val="6"/>
                <c:pt idx="0">
                  <c:v>F</c:v>
                </c:pt>
                <c:pt idx="1">
                  <c:v>H</c:v>
                </c:pt>
                <c:pt idx="2">
                  <c:v>B</c:v>
                </c:pt>
                <c:pt idx="3">
                  <c:v>C</c:v>
                </c:pt>
                <c:pt idx="4">
                  <c:v>I</c:v>
                </c:pt>
                <c:pt idx="5">
                  <c:v>J</c:v>
                </c:pt>
              </c:strCache>
            </c:strRef>
          </c:cat>
          <c:val>
            <c:numRef>
              <c:f>'Benchmark-Water'!$AB$67:$AB$76</c:f>
              <c:numCache>
                <c:formatCode>0.0</c:formatCode>
                <c:ptCount val="10"/>
                <c:pt idx="0">
                  <c:v>4.884361846488309</c:v>
                </c:pt>
                <c:pt idx="1">
                  <c:v>7.5565973126823502</c:v>
                </c:pt>
                <c:pt idx="2">
                  <c:v>7.8</c:v>
                </c:pt>
                <c:pt idx="3">
                  <c:v>7.8</c:v>
                </c:pt>
                <c:pt idx="4">
                  <c:v>7.8</c:v>
                </c:pt>
                <c:pt idx="5">
                  <c:v>1.9630170773085751</c:v>
                </c:pt>
                <c:pt idx="6">
                  <c:v>#N/A</c:v>
                </c:pt>
                <c:pt idx="7">
                  <c:v>#N/A</c:v>
                </c:pt>
                <c:pt idx="8">
                  <c:v>#N/A</c:v>
                </c:pt>
                <c:pt idx="9">
                  <c:v>#N/A</c:v>
                </c:pt>
              </c:numCache>
            </c:numRef>
          </c:val>
          <c:extLst>
            <c:ext xmlns:c16="http://schemas.microsoft.com/office/drawing/2014/chart" uri="{C3380CC4-5D6E-409C-BE32-E72D297353CC}">
              <c16:uniqueId val="{00000000-0BFB-4EF9-8BE8-025AB98B8823}"/>
            </c:ext>
          </c:extLst>
        </c:ser>
        <c:ser>
          <c:idx val="1"/>
          <c:order val="1"/>
          <c:tx>
            <c:strRef>
              <c:f>'Benchmark-Water'!$AC$66</c:f>
              <c:strCache>
                <c:ptCount val="1"/>
                <c:pt idx="0">
                  <c:v>Actual</c:v>
                </c:pt>
              </c:strCache>
            </c:strRef>
          </c:tx>
          <c:invertIfNegative val="0"/>
          <c:cat>
            <c:strRef>
              <c:f>'Benchmark-Water'!$N$67:$N$76</c:f>
              <c:strCache>
                <c:ptCount val="6"/>
                <c:pt idx="0">
                  <c:v>F</c:v>
                </c:pt>
                <c:pt idx="1">
                  <c:v>H</c:v>
                </c:pt>
                <c:pt idx="2">
                  <c:v>B</c:v>
                </c:pt>
                <c:pt idx="3">
                  <c:v>C</c:v>
                </c:pt>
                <c:pt idx="4">
                  <c:v>I</c:v>
                </c:pt>
                <c:pt idx="5">
                  <c:v>J</c:v>
                </c:pt>
              </c:strCache>
            </c:strRef>
          </c:cat>
          <c:val>
            <c:numRef>
              <c:f>'Benchmark-Water'!$AC$67:$AC$76</c:f>
              <c:numCache>
                <c:formatCode>General</c:formatCode>
                <c:ptCount val="10"/>
                <c:pt idx="0">
                  <c:v>7.3</c:v>
                </c:pt>
                <c:pt idx="1">
                  <c:v>8.85</c:v>
                </c:pt>
                <c:pt idx="2">
                  <c:v>6.8</c:v>
                </c:pt>
                <c:pt idx="3">
                  <c:v>11.3</c:v>
                </c:pt>
                <c:pt idx="4">
                  <c:v>8.1</c:v>
                </c:pt>
                <c:pt idx="5">
                  <c:v>0.18</c:v>
                </c:pt>
              </c:numCache>
            </c:numRef>
          </c:val>
          <c:extLst>
            <c:ext xmlns:c16="http://schemas.microsoft.com/office/drawing/2014/chart" uri="{C3380CC4-5D6E-409C-BE32-E72D297353CC}">
              <c16:uniqueId val="{00000001-0BFB-4EF9-8BE8-025AB98B8823}"/>
            </c:ext>
          </c:extLst>
        </c:ser>
        <c:dLbls>
          <c:showLegendKey val="0"/>
          <c:showVal val="0"/>
          <c:showCatName val="0"/>
          <c:showSerName val="0"/>
          <c:showPercent val="0"/>
          <c:showBubbleSize val="0"/>
        </c:dLbls>
        <c:gapWidth val="20"/>
        <c:axId val="586983680"/>
        <c:axId val="586989568"/>
      </c:barChart>
      <c:catAx>
        <c:axId val="586983680"/>
        <c:scaling>
          <c:orientation val="maxMin"/>
        </c:scaling>
        <c:delete val="1"/>
        <c:axPos val="l"/>
        <c:numFmt formatCode="General" sourceLinked="0"/>
        <c:majorTickMark val="out"/>
        <c:minorTickMark val="none"/>
        <c:tickLblPos val="nextTo"/>
        <c:crossAx val="586989568"/>
        <c:crosses val="autoZero"/>
        <c:auto val="1"/>
        <c:lblAlgn val="ctr"/>
        <c:lblOffset val="100"/>
        <c:noMultiLvlLbl val="0"/>
      </c:catAx>
      <c:valAx>
        <c:axId val="586989568"/>
        <c:scaling>
          <c:orientation val="minMax"/>
        </c:scaling>
        <c:delete val="0"/>
        <c:axPos val="t"/>
        <c:majorGridlines/>
        <c:numFmt formatCode="#,##0" sourceLinked="0"/>
        <c:majorTickMark val="out"/>
        <c:minorTickMark val="none"/>
        <c:tickLblPos val="nextTo"/>
        <c:crossAx val="58698368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13377826296781E-2"/>
          <c:y val="4.760368212243956E-2"/>
          <c:w val="0.8989968999736766"/>
          <c:h val="0.89627293108699357"/>
        </c:manualLayout>
      </c:layout>
      <c:barChart>
        <c:barDir val="col"/>
        <c:grouping val="clustered"/>
        <c:varyColors val="0"/>
        <c:ser>
          <c:idx val="1"/>
          <c:order val="0"/>
          <c:tx>
            <c:strRef>
              <c:f>'Benchmark-Water'!$N$43</c:f>
              <c:strCache>
                <c:ptCount val="1"/>
                <c:pt idx="0">
                  <c:v>Total</c:v>
                </c:pt>
              </c:strCache>
            </c:strRef>
          </c:tx>
          <c:spPr>
            <a:solidFill>
              <a:srgbClr val="FFFF00"/>
            </a:solidFill>
            <a:ln>
              <a:solidFill>
                <a:schemeClr val="tx1"/>
              </a:solidFill>
            </a:ln>
          </c:spPr>
          <c:invertIfNegative val="0"/>
          <c:val>
            <c:numRef>
              <c:f>'Benchmark-Water'!$P$43:$AA$43</c:f>
              <c:numCache>
                <c:formatCode>0%;\-0%;"-"</c:formatCode>
                <c:ptCount val="12"/>
                <c:pt idx="0">
                  <c:v>0.25789254793012767</c:v>
                </c:pt>
                <c:pt idx="1">
                  <c:v>0.21575880107802656</c:v>
                </c:pt>
                <c:pt idx="2">
                  <c:v>3.1205472733032005E-2</c:v>
                </c:pt>
                <c:pt idx="3">
                  <c:v>3.1205472733032005E-2</c:v>
                </c:pt>
                <c:pt idx="4">
                  <c:v>6.1295314788106146E-2</c:v>
                </c:pt>
                <c:pt idx="5">
                  <c:v>0.16109901567622859</c:v>
                </c:pt>
                <c:pt idx="6">
                  <c:v>8.0856565520356111E-2</c:v>
                </c:pt>
                <c:pt idx="7">
                  <c:v>9.1409524469231347E-3</c:v>
                </c:pt>
                <c:pt idx="8">
                  <c:v>2.0545410675326507E-2</c:v>
                </c:pt>
                <c:pt idx="9">
                  <c:v>8.2357881200644648E-2</c:v>
                </c:pt>
                <c:pt idx="10">
                  <c:v>8.1379218199747281E-3</c:v>
                </c:pt>
                <c:pt idx="11">
                  <c:v>4.0504643398221747E-2</c:v>
                </c:pt>
              </c:numCache>
            </c:numRef>
          </c:val>
          <c:extLst>
            <c:ext xmlns:c16="http://schemas.microsoft.com/office/drawing/2014/chart" uri="{C3380CC4-5D6E-409C-BE32-E72D297353CC}">
              <c16:uniqueId val="{00000000-8245-4DFB-A49B-5EFDA2D3FB40}"/>
            </c:ext>
          </c:extLst>
        </c:ser>
        <c:dLbls>
          <c:showLegendKey val="0"/>
          <c:showVal val="0"/>
          <c:showCatName val="0"/>
          <c:showSerName val="0"/>
          <c:showPercent val="0"/>
          <c:showBubbleSize val="0"/>
        </c:dLbls>
        <c:gapWidth val="0"/>
        <c:axId val="590036992"/>
        <c:axId val="590038528"/>
      </c:barChart>
      <c:catAx>
        <c:axId val="590036992"/>
        <c:scaling>
          <c:orientation val="minMax"/>
        </c:scaling>
        <c:delete val="1"/>
        <c:axPos val="t"/>
        <c:majorTickMark val="out"/>
        <c:minorTickMark val="none"/>
        <c:tickLblPos val="nextTo"/>
        <c:crossAx val="590038528"/>
        <c:crosses val="autoZero"/>
        <c:auto val="1"/>
        <c:lblAlgn val="ctr"/>
        <c:lblOffset val="100"/>
        <c:noMultiLvlLbl val="0"/>
      </c:catAx>
      <c:valAx>
        <c:axId val="590038528"/>
        <c:scaling>
          <c:orientation val="maxMin"/>
          <c:min val="0"/>
        </c:scaling>
        <c:delete val="0"/>
        <c:axPos val="l"/>
        <c:majorGridlines/>
        <c:numFmt formatCode="0%;\-0%;&quot;-&quot;" sourceLinked="1"/>
        <c:majorTickMark val="out"/>
        <c:minorTickMark val="none"/>
        <c:tickLblPos val="nextTo"/>
        <c:crossAx val="590036992"/>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A493464-69F4-4D53-AB02-B935C356FCBD}" type="doc">
      <dgm:prSet loTypeId="urn:microsoft.com/office/officeart/2005/8/layout/pyramid1" loCatId="pyramid" qsTypeId="urn:microsoft.com/office/officeart/2005/8/quickstyle/simple3" qsCatId="simple" csTypeId="urn:microsoft.com/office/officeart/2005/8/colors/colorful5" csCatId="colorful" phldr="1"/>
      <dgm:spPr/>
    </dgm:pt>
    <dgm:pt modelId="{B0D5ACED-3E0A-4F7D-A1B1-7605507C5B26}">
      <dgm:prSet phldrT="[Text]"/>
      <dgm:spPr>
        <a:gradFill rotWithShape="0">
          <a:gsLst>
            <a:gs pos="31000">
              <a:srgbClr val="FF4D1D"/>
            </a:gs>
            <a:gs pos="78000">
              <a:srgbClr val="FDB555"/>
            </a:gs>
          </a:gsLst>
        </a:gradFill>
      </dgm:spPr>
      <dgm:t>
        <a:bodyPr/>
        <a:lstStyle/>
        <a:p>
          <a:r>
            <a:rPr lang="en-AU">
              <a:solidFill>
                <a:sysClr val="windowText" lastClr="000000"/>
              </a:solidFill>
              <a:effectLst>
                <a:glow rad="228600">
                  <a:schemeClr val="bg1">
                    <a:alpha val="40000"/>
                  </a:schemeClr>
                </a:glow>
              </a:effectLst>
            </a:rPr>
            <a:t>Housekeeping</a:t>
          </a:r>
        </a:p>
      </dgm:t>
    </dgm:pt>
    <dgm:pt modelId="{27A50339-7A92-4300-9140-F51B247B9194}" type="parTrans" cxnId="{66939BB5-5F74-4997-9C7A-856FB0794E44}">
      <dgm:prSet/>
      <dgm:spPr/>
      <dgm:t>
        <a:bodyPr/>
        <a:lstStyle/>
        <a:p>
          <a:endParaRPr lang="en-AU"/>
        </a:p>
      </dgm:t>
    </dgm:pt>
    <dgm:pt modelId="{9672F7E9-96C3-40E4-8BCC-463EF82DEF85}" type="sibTrans" cxnId="{66939BB5-5F74-4997-9C7A-856FB0794E44}">
      <dgm:prSet/>
      <dgm:spPr/>
      <dgm:t>
        <a:bodyPr/>
        <a:lstStyle/>
        <a:p>
          <a:endParaRPr lang="en-AU"/>
        </a:p>
      </dgm:t>
    </dgm:pt>
    <dgm:pt modelId="{2D773915-18C7-4709-9D88-FC75C8FE5485}">
      <dgm:prSet/>
      <dgm:spPr>
        <a:gradFill rotWithShape="0">
          <a:gsLst>
            <a:gs pos="2000">
              <a:srgbClr val="FDBA58"/>
            </a:gs>
            <a:gs pos="28000">
              <a:srgbClr val="FFF67D"/>
            </a:gs>
          </a:gsLst>
        </a:gradFill>
      </dgm:spPr>
      <dgm:t>
        <a:bodyPr/>
        <a:lstStyle/>
        <a:p>
          <a:r>
            <a:rPr lang="en-AU">
              <a:solidFill>
                <a:sysClr val="windowText" lastClr="000000"/>
              </a:solidFill>
              <a:effectLst>
                <a:glow rad="228600">
                  <a:schemeClr val="bg1">
                    <a:alpha val="40000"/>
                  </a:schemeClr>
                </a:glow>
              </a:effectLst>
            </a:rPr>
            <a:t>Process Improvements &amp; Efficient Equipment</a:t>
          </a:r>
        </a:p>
      </dgm:t>
    </dgm:pt>
    <dgm:pt modelId="{3B45119B-2EB2-4FA4-B6D6-535CAFFD631C}" type="parTrans" cxnId="{073EE6DC-066D-45F3-B674-F49CE7AB265B}">
      <dgm:prSet/>
      <dgm:spPr/>
      <dgm:t>
        <a:bodyPr/>
        <a:lstStyle/>
        <a:p>
          <a:endParaRPr lang="en-AU"/>
        </a:p>
      </dgm:t>
    </dgm:pt>
    <dgm:pt modelId="{C514CE59-5B86-49F8-A95D-24A3F44F8B03}" type="sibTrans" cxnId="{073EE6DC-066D-45F3-B674-F49CE7AB265B}">
      <dgm:prSet/>
      <dgm:spPr/>
      <dgm:t>
        <a:bodyPr/>
        <a:lstStyle/>
        <a:p>
          <a:endParaRPr lang="en-AU"/>
        </a:p>
      </dgm:t>
    </dgm:pt>
    <dgm:pt modelId="{9C6446E9-317A-439C-AF63-49F20D98776C}">
      <dgm:prSet/>
      <dgm:spPr>
        <a:gradFill rotWithShape="0">
          <a:gsLst>
            <a:gs pos="100000">
              <a:srgbClr val="85E080"/>
            </a:gs>
            <a:gs pos="11000">
              <a:srgbClr val="85E080"/>
            </a:gs>
            <a:gs pos="0">
              <a:srgbClr val="FFF67D"/>
            </a:gs>
          </a:gsLst>
        </a:gradFill>
        <a:effectLst>
          <a:outerShdw blurRad="45000" dist="25000" dir="5400000" rotWithShape="0">
            <a:schemeClr val="bg1">
              <a:alpha val="38000"/>
            </a:schemeClr>
          </a:outerShdw>
        </a:effectLst>
      </dgm:spPr>
      <dgm:t>
        <a:bodyPr/>
        <a:lstStyle/>
        <a:p>
          <a:r>
            <a:rPr lang="en-AU">
              <a:solidFill>
                <a:sysClr val="windowText" lastClr="000000"/>
              </a:solidFill>
              <a:effectLst>
                <a:glow rad="228600">
                  <a:schemeClr val="bg1">
                    <a:alpha val="40000"/>
                  </a:schemeClr>
                </a:glow>
              </a:effectLst>
            </a:rPr>
            <a:t>Renewables &amp; Cogeneration</a:t>
          </a:r>
        </a:p>
      </dgm:t>
    </dgm:pt>
    <dgm:pt modelId="{63450254-871A-4273-8F59-3CD38B4360A7}" type="parTrans" cxnId="{6B9C795B-2428-439F-BC31-5B66D2B91B76}">
      <dgm:prSet/>
      <dgm:spPr/>
      <dgm:t>
        <a:bodyPr/>
        <a:lstStyle/>
        <a:p>
          <a:endParaRPr lang="en-AU"/>
        </a:p>
      </dgm:t>
    </dgm:pt>
    <dgm:pt modelId="{29003DFB-25AD-4C53-9C0B-54E38214A782}" type="sibTrans" cxnId="{6B9C795B-2428-439F-BC31-5B66D2B91B76}">
      <dgm:prSet/>
      <dgm:spPr/>
      <dgm:t>
        <a:bodyPr/>
        <a:lstStyle/>
        <a:p>
          <a:endParaRPr lang="en-AU"/>
        </a:p>
      </dgm:t>
    </dgm:pt>
    <dgm:pt modelId="{41024BB0-4C4A-4441-9EB5-B19E49B6C4D8}" type="pres">
      <dgm:prSet presAssocID="{5A493464-69F4-4D53-AB02-B935C356FCBD}" presName="Name0" presStyleCnt="0">
        <dgm:presLayoutVars>
          <dgm:dir/>
          <dgm:animLvl val="lvl"/>
          <dgm:resizeHandles val="exact"/>
        </dgm:presLayoutVars>
      </dgm:prSet>
      <dgm:spPr/>
    </dgm:pt>
    <dgm:pt modelId="{7438217A-1A68-444C-B5D7-4A19ADCBC9F6}" type="pres">
      <dgm:prSet presAssocID="{9C6446E9-317A-439C-AF63-49F20D98776C}" presName="Name8" presStyleCnt="0"/>
      <dgm:spPr/>
    </dgm:pt>
    <dgm:pt modelId="{3B75FCDB-1066-4B26-A274-8C21F8F87AD7}" type="pres">
      <dgm:prSet presAssocID="{9C6446E9-317A-439C-AF63-49F20D98776C}" presName="level" presStyleLbl="node1" presStyleIdx="0" presStyleCnt="3">
        <dgm:presLayoutVars>
          <dgm:chMax val="1"/>
          <dgm:bulletEnabled val="1"/>
        </dgm:presLayoutVars>
      </dgm:prSet>
      <dgm:spPr/>
    </dgm:pt>
    <dgm:pt modelId="{DD00DC2C-881F-4CC2-853C-EA621B98B8DC}" type="pres">
      <dgm:prSet presAssocID="{9C6446E9-317A-439C-AF63-49F20D98776C}" presName="levelTx" presStyleLbl="revTx" presStyleIdx="0" presStyleCnt="0">
        <dgm:presLayoutVars>
          <dgm:chMax val="1"/>
          <dgm:bulletEnabled val="1"/>
        </dgm:presLayoutVars>
      </dgm:prSet>
      <dgm:spPr/>
    </dgm:pt>
    <dgm:pt modelId="{F9C38E03-FC17-4AEC-B531-F4A785B25859}" type="pres">
      <dgm:prSet presAssocID="{2D773915-18C7-4709-9D88-FC75C8FE5485}" presName="Name8" presStyleCnt="0"/>
      <dgm:spPr/>
    </dgm:pt>
    <dgm:pt modelId="{DF1F3154-9451-41D0-AB90-84328714D88A}" type="pres">
      <dgm:prSet presAssocID="{2D773915-18C7-4709-9D88-FC75C8FE5485}" presName="level" presStyleLbl="node1" presStyleIdx="1" presStyleCnt="3">
        <dgm:presLayoutVars>
          <dgm:chMax val="1"/>
          <dgm:bulletEnabled val="1"/>
        </dgm:presLayoutVars>
      </dgm:prSet>
      <dgm:spPr/>
    </dgm:pt>
    <dgm:pt modelId="{88EB146E-4A91-47EF-8252-300160E6FDDC}" type="pres">
      <dgm:prSet presAssocID="{2D773915-18C7-4709-9D88-FC75C8FE5485}" presName="levelTx" presStyleLbl="revTx" presStyleIdx="0" presStyleCnt="0">
        <dgm:presLayoutVars>
          <dgm:chMax val="1"/>
          <dgm:bulletEnabled val="1"/>
        </dgm:presLayoutVars>
      </dgm:prSet>
      <dgm:spPr/>
    </dgm:pt>
    <dgm:pt modelId="{FDF996B9-C3E3-4964-8BCE-0877C3D8825A}" type="pres">
      <dgm:prSet presAssocID="{B0D5ACED-3E0A-4F7D-A1B1-7605507C5B26}" presName="Name8" presStyleCnt="0"/>
      <dgm:spPr/>
    </dgm:pt>
    <dgm:pt modelId="{9098E5D6-4116-419B-AF60-9655642D225D}" type="pres">
      <dgm:prSet presAssocID="{B0D5ACED-3E0A-4F7D-A1B1-7605507C5B26}" presName="level" presStyleLbl="node1" presStyleIdx="2" presStyleCnt="3">
        <dgm:presLayoutVars>
          <dgm:chMax val="1"/>
          <dgm:bulletEnabled val="1"/>
        </dgm:presLayoutVars>
      </dgm:prSet>
      <dgm:spPr/>
    </dgm:pt>
    <dgm:pt modelId="{4C7126D8-0C64-4AB1-9C23-83A72398FFE4}" type="pres">
      <dgm:prSet presAssocID="{B0D5ACED-3E0A-4F7D-A1B1-7605507C5B26}" presName="levelTx" presStyleLbl="revTx" presStyleIdx="0" presStyleCnt="0">
        <dgm:presLayoutVars>
          <dgm:chMax val="1"/>
          <dgm:bulletEnabled val="1"/>
        </dgm:presLayoutVars>
      </dgm:prSet>
      <dgm:spPr/>
    </dgm:pt>
  </dgm:ptLst>
  <dgm:cxnLst>
    <dgm:cxn modelId="{8811B204-152E-4B47-8225-6A6238CB3CFA}" type="presOf" srcId="{B0D5ACED-3E0A-4F7D-A1B1-7605507C5B26}" destId="{4C7126D8-0C64-4AB1-9C23-83A72398FFE4}" srcOrd="1" destOrd="0" presId="urn:microsoft.com/office/officeart/2005/8/layout/pyramid1"/>
    <dgm:cxn modelId="{16B4130D-99CC-4177-AB66-5FB4636CD258}" type="presOf" srcId="{B0D5ACED-3E0A-4F7D-A1B1-7605507C5B26}" destId="{9098E5D6-4116-419B-AF60-9655642D225D}" srcOrd="0" destOrd="0" presId="urn:microsoft.com/office/officeart/2005/8/layout/pyramid1"/>
    <dgm:cxn modelId="{7231BC13-45D9-4586-A355-B42F3B70E853}" type="presOf" srcId="{9C6446E9-317A-439C-AF63-49F20D98776C}" destId="{DD00DC2C-881F-4CC2-853C-EA621B98B8DC}" srcOrd="1" destOrd="0" presId="urn:microsoft.com/office/officeart/2005/8/layout/pyramid1"/>
    <dgm:cxn modelId="{6B9C795B-2428-439F-BC31-5B66D2B91B76}" srcId="{5A493464-69F4-4D53-AB02-B935C356FCBD}" destId="{9C6446E9-317A-439C-AF63-49F20D98776C}" srcOrd="0" destOrd="0" parTransId="{63450254-871A-4273-8F59-3CD38B4360A7}" sibTransId="{29003DFB-25AD-4C53-9C0B-54E38214A782}"/>
    <dgm:cxn modelId="{62481AA7-FB13-47AA-A4DD-3CBF414665E6}" type="presOf" srcId="{5A493464-69F4-4D53-AB02-B935C356FCBD}" destId="{41024BB0-4C4A-4441-9EB5-B19E49B6C4D8}" srcOrd="0" destOrd="0" presId="urn:microsoft.com/office/officeart/2005/8/layout/pyramid1"/>
    <dgm:cxn modelId="{66939BB5-5F74-4997-9C7A-856FB0794E44}" srcId="{5A493464-69F4-4D53-AB02-B935C356FCBD}" destId="{B0D5ACED-3E0A-4F7D-A1B1-7605507C5B26}" srcOrd="2" destOrd="0" parTransId="{27A50339-7A92-4300-9140-F51B247B9194}" sibTransId="{9672F7E9-96C3-40E4-8BCC-463EF82DEF85}"/>
    <dgm:cxn modelId="{073EE6DC-066D-45F3-B674-F49CE7AB265B}" srcId="{5A493464-69F4-4D53-AB02-B935C356FCBD}" destId="{2D773915-18C7-4709-9D88-FC75C8FE5485}" srcOrd="1" destOrd="0" parTransId="{3B45119B-2EB2-4FA4-B6D6-535CAFFD631C}" sibTransId="{C514CE59-5B86-49F8-A95D-24A3F44F8B03}"/>
    <dgm:cxn modelId="{7474EFEB-1950-4420-ABB6-152F3D638B7E}" type="presOf" srcId="{2D773915-18C7-4709-9D88-FC75C8FE5485}" destId="{DF1F3154-9451-41D0-AB90-84328714D88A}" srcOrd="0" destOrd="0" presId="urn:microsoft.com/office/officeart/2005/8/layout/pyramid1"/>
    <dgm:cxn modelId="{15AF89F2-111A-46A5-ABFA-5BCCA14B7358}" type="presOf" srcId="{9C6446E9-317A-439C-AF63-49F20D98776C}" destId="{3B75FCDB-1066-4B26-A274-8C21F8F87AD7}" srcOrd="0" destOrd="0" presId="urn:microsoft.com/office/officeart/2005/8/layout/pyramid1"/>
    <dgm:cxn modelId="{6205D4FE-14A9-4587-9CF7-94C71399C3F9}" type="presOf" srcId="{2D773915-18C7-4709-9D88-FC75C8FE5485}" destId="{88EB146E-4A91-47EF-8252-300160E6FDDC}" srcOrd="1" destOrd="0" presId="urn:microsoft.com/office/officeart/2005/8/layout/pyramid1"/>
    <dgm:cxn modelId="{EA639562-3600-443F-89F7-52029EA2993A}" type="presParOf" srcId="{41024BB0-4C4A-4441-9EB5-B19E49B6C4D8}" destId="{7438217A-1A68-444C-B5D7-4A19ADCBC9F6}" srcOrd="0" destOrd="0" presId="urn:microsoft.com/office/officeart/2005/8/layout/pyramid1"/>
    <dgm:cxn modelId="{89C60F36-D27B-40A6-A824-4CA4AB5514B7}" type="presParOf" srcId="{7438217A-1A68-444C-B5D7-4A19ADCBC9F6}" destId="{3B75FCDB-1066-4B26-A274-8C21F8F87AD7}" srcOrd="0" destOrd="0" presId="urn:microsoft.com/office/officeart/2005/8/layout/pyramid1"/>
    <dgm:cxn modelId="{4E4F7E28-8425-4EF1-A6ED-5585B43C0CDF}" type="presParOf" srcId="{7438217A-1A68-444C-B5D7-4A19ADCBC9F6}" destId="{DD00DC2C-881F-4CC2-853C-EA621B98B8DC}" srcOrd="1" destOrd="0" presId="urn:microsoft.com/office/officeart/2005/8/layout/pyramid1"/>
    <dgm:cxn modelId="{05653B09-2596-4D8B-B921-9D4A35113E51}" type="presParOf" srcId="{41024BB0-4C4A-4441-9EB5-B19E49B6C4D8}" destId="{F9C38E03-FC17-4AEC-B531-F4A785B25859}" srcOrd="1" destOrd="0" presId="urn:microsoft.com/office/officeart/2005/8/layout/pyramid1"/>
    <dgm:cxn modelId="{E8ED4F84-9A87-4CE9-92E9-4C0177E5C293}" type="presParOf" srcId="{F9C38E03-FC17-4AEC-B531-F4A785B25859}" destId="{DF1F3154-9451-41D0-AB90-84328714D88A}" srcOrd="0" destOrd="0" presId="urn:microsoft.com/office/officeart/2005/8/layout/pyramid1"/>
    <dgm:cxn modelId="{BE01328A-DAA4-4D33-B496-37141D12ECC0}" type="presParOf" srcId="{F9C38E03-FC17-4AEC-B531-F4A785B25859}" destId="{88EB146E-4A91-47EF-8252-300160E6FDDC}" srcOrd="1" destOrd="0" presId="urn:microsoft.com/office/officeart/2005/8/layout/pyramid1"/>
    <dgm:cxn modelId="{0C5E6558-1857-4723-B168-43B13B084647}" type="presParOf" srcId="{41024BB0-4C4A-4441-9EB5-B19E49B6C4D8}" destId="{FDF996B9-C3E3-4964-8BCE-0877C3D8825A}" srcOrd="2" destOrd="0" presId="urn:microsoft.com/office/officeart/2005/8/layout/pyramid1"/>
    <dgm:cxn modelId="{2094C0AA-B134-42A0-9FAE-6C7E5B420115}" type="presParOf" srcId="{FDF996B9-C3E3-4964-8BCE-0877C3D8825A}" destId="{9098E5D6-4116-419B-AF60-9655642D225D}" srcOrd="0" destOrd="0" presId="urn:microsoft.com/office/officeart/2005/8/layout/pyramid1"/>
    <dgm:cxn modelId="{78237AB3-02E9-4FA3-BD12-2D38704F5E9B}" type="presParOf" srcId="{FDF996B9-C3E3-4964-8BCE-0877C3D8825A}" destId="{4C7126D8-0C64-4AB1-9C23-83A72398FFE4}" srcOrd="1" destOrd="0" presId="urn:microsoft.com/office/officeart/2005/8/layout/pyramid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5A493464-69F4-4D53-AB02-B935C356FCBD}" type="doc">
      <dgm:prSet loTypeId="urn:microsoft.com/office/officeart/2005/8/layout/pyramid1" loCatId="pyramid" qsTypeId="urn:microsoft.com/office/officeart/2005/8/quickstyle/simple3" qsCatId="simple" csTypeId="urn:microsoft.com/office/officeart/2005/8/colors/colorful5" csCatId="colorful" phldr="1"/>
      <dgm:spPr/>
    </dgm:pt>
    <dgm:pt modelId="{9C311FF0-ECD2-4110-9BA7-6C137F32B46D}">
      <dgm:prSet phldrT="[Text]"/>
      <dgm:spPr/>
      <dgm:t>
        <a:bodyPr/>
        <a:lstStyle/>
        <a:p>
          <a:r>
            <a:rPr lang="en-AU">
              <a:solidFill>
                <a:sysClr val="windowText" lastClr="000000"/>
              </a:solidFill>
              <a:effectLst>
                <a:glow rad="228600">
                  <a:schemeClr val="bg1">
                    <a:alpha val="40000"/>
                  </a:schemeClr>
                </a:glow>
              </a:effectLst>
            </a:rPr>
            <a:t>Cogeneration</a:t>
          </a:r>
        </a:p>
      </dgm:t>
    </dgm:pt>
    <dgm:pt modelId="{A23816FE-8A0E-49E5-B1D9-164DCE2F6EC9}" type="parTrans" cxnId="{2EE77A2B-59B1-43DD-9B7E-B77B93FFA4C2}">
      <dgm:prSet/>
      <dgm:spPr/>
      <dgm:t>
        <a:bodyPr/>
        <a:lstStyle/>
        <a:p>
          <a:endParaRPr lang="en-AU"/>
        </a:p>
      </dgm:t>
    </dgm:pt>
    <dgm:pt modelId="{AF10863A-5B67-4E22-BC0D-0512BB70D645}" type="sibTrans" cxnId="{2EE77A2B-59B1-43DD-9B7E-B77B93FFA4C2}">
      <dgm:prSet/>
      <dgm:spPr/>
      <dgm:t>
        <a:bodyPr/>
        <a:lstStyle/>
        <a:p>
          <a:endParaRPr lang="en-AU"/>
        </a:p>
      </dgm:t>
    </dgm:pt>
    <dgm:pt modelId="{68A7BA9B-1830-4321-B0CB-356C422DE106}">
      <dgm:prSet phldrT="[Text]"/>
      <dgm:spPr/>
      <dgm:t>
        <a:bodyPr/>
        <a:lstStyle/>
        <a:p>
          <a:r>
            <a:rPr lang="en-AU">
              <a:solidFill>
                <a:sysClr val="windowText" lastClr="000000"/>
              </a:solidFill>
              <a:effectLst>
                <a:glow rad="228600">
                  <a:schemeClr val="bg1">
                    <a:alpha val="40000"/>
                  </a:schemeClr>
                </a:glow>
              </a:effectLst>
            </a:rPr>
            <a:t>Efficient Equipment</a:t>
          </a:r>
        </a:p>
      </dgm:t>
    </dgm:pt>
    <dgm:pt modelId="{712D3655-D715-4642-9B8F-5FABB4B7F966}" type="parTrans" cxnId="{43E20084-3719-4A76-A0D5-CD1DD9A1E69D}">
      <dgm:prSet/>
      <dgm:spPr/>
      <dgm:t>
        <a:bodyPr/>
        <a:lstStyle/>
        <a:p>
          <a:endParaRPr lang="en-AU"/>
        </a:p>
      </dgm:t>
    </dgm:pt>
    <dgm:pt modelId="{D609FDD2-B532-4196-A2CA-732C4D730ABB}" type="sibTrans" cxnId="{43E20084-3719-4A76-A0D5-CD1DD9A1E69D}">
      <dgm:prSet/>
      <dgm:spPr/>
      <dgm:t>
        <a:bodyPr/>
        <a:lstStyle/>
        <a:p>
          <a:endParaRPr lang="en-AU"/>
        </a:p>
      </dgm:t>
    </dgm:pt>
    <dgm:pt modelId="{B0D5ACED-3E0A-4F7D-A1B1-7605507C5B26}">
      <dgm:prSet phldrT="[Text]"/>
      <dgm:spPr/>
      <dgm:t>
        <a:bodyPr/>
        <a:lstStyle/>
        <a:p>
          <a:r>
            <a:rPr lang="en-AU">
              <a:solidFill>
                <a:sysClr val="windowText" lastClr="000000"/>
              </a:solidFill>
              <a:effectLst>
                <a:glow rad="228600">
                  <a:schemeClr val="bg1">
                    <a:alpha val="40000"/>
                  </a:schemeClr>
                </a:glow>
              </a:effectLst>
            </a:rPr>
            <a:t>Housekeeping</a:t>
          </a:r>
        </a:p>
      </dgm:t>
    </dgm:pt>
    <dgm:pt modelId="{27A50339-7A92-4300-9140-F51B247B9194}" type="parTrans" cxnId="{66939BB5-5F74-4997-9C7A-856FB0794E44}">
      <dgm:prSet/>
      <dgm:spPr/>
      <dgm:t>
        <a:bodyPr/>
        <a:lstStyle/>
        <a:p>
          <a:endParaRPr lang="en-AU"/>
        </a:p>
      </dgm:t>
    </dgm:pt>
    <dgm:pt modelId="{9672F7E9-96C3-40E4-8BCC-463EF82DEF85}" type="sibTrans" cxnId="{66939BB5-5F74-4997-9C7A-856FB0794E44}">
      <dgm:prSet/>
      <dgm:spPr/>
      <dgm:t>
        <a:bodyPr/>
        <a:lstStyle/>
        <a:p>
          <a:endParaRPr lang="en-AU"/>
        </a:p>
      </dgm:t>
    </dgm:pt>
    <dgm:pt modelId="{2D773915-18C7-4709-9D88-FC75C8FE5485}">
      <dgm:prSet/>
      <dgm:spPr/>
      <dgm:t>
        <a:bodyPr/>
        <a:lstStyle/>
        <a:p>
          <a:r>
            <a:rPr lang="en-AU">
              <a:solidFill>
                <a:sysClr val="windowText" lastClr="000000"/>
              </a:solidFill>
              <a:effectLst>
                <a:glow rad="228600">
                  <a:schemeClr val="bg1">
                    <a:alpha val="40000"/>
                  </a:schemeClr>
                </a:glow>
              </a:effectLst>
            </a:rPr>
            <a:t>Process Improvements</a:t>
          </a:r>
        </a:p>
      </dgm:t>
    </dgm:pt>
    <dgm:pt modelId="{3B45119B-2EB2-4FA4-B6D6-535CAFFD631C}" type="parTrans" cxnId="{073EE6DC-066D-45F3-B674-F49CE7AB265B}">
      <dgm:prSet/>
      <dgm:spPr/>
      <dgm:t>
        <a:bodyPr/>
        <a:lstStyle/>
        <a:p>
          <a:endParaRPr lang="en-AU"/>
        </a:p>
      </dgm:t>
    </dgm:pt>
    <dgm:pt modelId="{C514CE59-5B86-49F8-A95D-24A3F44F8B03}" type="sibTrans" cxnId="{073EE6DC-066D-45F3-B674-F49CE7AB265B}">
      <dgm:prSet/>
      <dgm:spPr/>
      <dgm:t>
        <a:bodyPr/>
        <a:lstStyle/>
        <a:p>
          <a:endParaRPr lang="en-AU"/>
        </a:p>
      </dgm:t>
    </dgm:pt>
    <dgm:pt modelId="{9C6446E9-317A-439C-AF63-49F20D98776C}">
      <dgm:prSet/>
      <dgm:spPr>
        <a:effectLst>
          <a:outerShdw blurRad="45000" dist="25000" dir="5400000" rotWithShape="0">
            <a:schemeClr val="bg1">
              <a:alpha val="38000"/>
            </a:schemeClr>
          </a:outerShdw>
        </a:effectLst>
      </dgm:spPr>
      <dgm:t>
        <a:bodyPr/>
        <a:lstStyle/>
        <a:p>
          <a:r>
            <a:rPr lang="en-AU">
              <a:solidFill>
                <a:sysClr val="windowText" lastClr="000000"/>
              </a:solidFill>
              <a:effectLst>
                <a:glow rad="228600">
                  <a:schemeClr val="bg1">
                    <a:alpha val="40000"/>
                  </a:schemeClr>
                </a:glow>
              </a:effectLst>
            </a:rPr>
            <a:t>Renewables</a:t>
          </a:r>
        </a:p>
      </dgm:t>
    </dgm:pt>
    <dgm:pt modelId="{63450254-871A-4273-8F59-3CD38B4360A7}" type="parTrans" cxnId="{6B9C795B-2428-439F-BC31-5B66D2B91B76}">
      <dgm:prSet/>
      <dgm:spPr/>
      <dgm:t>
        <a:bodyPr/>
        <a:lstStyle/>
        <a:p>
          <a:endParaRPr lang="en-AU"/>
        </a:p>
      </dgm:t>
    </dgm:pt>
    <dgm:pt modelId="{29003DFB-25AD-4C53-9C0B-54E38214A782}" type="sibTrans" cxnId="{6B9C795B-2428-439F-BC31-5B66D2B91B76}">
      <dgm:prSet/>
      <dgm:spPr/>
      <dgm:t>
        <a:bodyPr/>
        <a:lstStyle/>
        <a:p>
          <a:endParaRPr lang="en-AU"/>
        </a:p>
      </dgm:t>
    </dgm:pt>
    <dgm:pt modelId="{41024BB0-4C4A-4441-9EB5-B19E49B6C4D8}" type="pres">
      <dgm:prSet presAssocID="{5A493464-69F4-4D53-AB02-B935C356FCBD}" presName="Name0" presStyleCnt="0">
        <dgm:presLayoutVars>
          <dgm:dir/>
          <dgm:animLvl val="lvl"/>
          <dgm:resizeHandles val="exact"/>
        </dgm:presLayoutVars>
      </dgm:prSet>
      <dgm:spPr/>
    </dgm:pt>
    <dgm:pt modelId="{7438217A-1A68-444C-B5D7-4A19ADCBC9F6}" type="pres">
      <dgm:prSet presAssocID="{9C6446E9-317A-439C-AF63-49F20D98776C}" presName="Name8" presStyleCnt="0"/>
      <dgm:spPr/>
    </dgm:pt>
    <dgm:pt modelId="{3B75FCDB-1066-4B26-A274-8C21F8F87AD7}" type="pres">
      <dgm:prSet presAssocID="{9C6446E9-317A-439C-AF63-49F20D98776C}" presName="level" presStyleLbl="node1" presStyleIdx="0" presStyleCnt="5">
        <dgm:presLayoutVars>
          <dgm:chMax val="1"/>
          <dgm:bulletEnabled val="1"/>
        </dgm:presLayoutVars>
      </dgm:prSet>
      <dgm:spPr/>
    </dgm:pt>
    <dgm:pt modelId="{DD00DC2C-881F-4CC2-853C-EA621B98B8DC}" type="pres">
      <dgm:prSet presAssocID="{9C6446E9-317A-439C-AF63-49F20D98776C}" presName="levelTx" presStyleLbl="revTx" presStyleIdx="0" presStyleCnt="0">
        <dgm:presLayoutVars>
          <dgm:chMax val="1"/>
          <dgm:bulletEnabled val="1"/>
        </dgm:presLayoutVars>
      </dgm:prSet>
      <dgm:spPr/>
    </dgm:pt>
    <dgm:pt modelId="{F70AE777-1DA5-4E8C-B4D9-B93AACA62E2E}" type="pres">
      <dgm:prSet presAssocID="{9C311FF0-ECD2-4110-9BA7-6C137F32B46D}" presName="Name8" presStyleCnt="0"/>
      <dgm:spPr/>
    </dgm:pt>
    <dgm:pt modelId="{F189CB13-6149-42D8-B239-125163967847}" type="pres">
      <dgm:prSet presAssocID="{9C311FF0-ECD2-4110-9BA7-6C137F32B46D}" presName="level" presStyleLbl="node1" presStyleIdx="1" presStyleCnt="5">
        <dgm:presLayoutVars>
          <dgm:chMax val="1"/>
          <dgm:bulletEnabled val="1"/>
        </dgm:presLayoutVars>
      </dgm:prSet>
      <dgm:spPr/>
    </dgm:pt>
    <dgm:pt modelId="{9BA18F74-7A01-40FD-81EB-169519C473B9}" type="pres">
      <dgm:prSet presAssocID="{9C311FF0-ECD2-4110-9BA7-6C137F32B46D}" presName="levelTx" presStyleLbl="revTx" presStyleIdx="0" presStyleCnt="0">
        <dgm:presLayoutVars>
          <dgm:chMax val="1"/>
          <dgm:bulletEnabled val="1"/>
        </dgm:presLayoutVars>
      </dgm:prSet>
      <dgm:spPr/>
    </dgm:pt>
    <dgm:pt modelId="{F9C38E03-FC17-4AEC-B531-F4A785B25859}" type="pres">
      <dgm:prSet presAssocID="{2D773915-18C7-4709-9D88-FC75C8FE5485}" presName="Name8" presStyleCnt="0"/>
      <dgm:spPr/>
    </dgm:pt>
    <dgm:pt modelId="{DF1F3154-9451-41D0-AB90-84328714D88A}" type="pres">
      <dgm:prSet presAssocID="{2D773915-18C7-4709-9D88-FC75C8FE5485}" presName="level" presStyleLbl="node1" presStyleIdx="2" presStyleCnt="5">
        <dgm:presLayoutVars>
          <dgm:chMax val="1"/>
          <dgm:bulletEnabled val="1"/>
        </dgm:presLayoutVars>
      </dgm:prSet>
      <dgm:spPr/>
    </dgm:pt>
    <dgm:pt modelId="{88EB146E-4A91-47EF-8252-300160E6FDDC}" type="pres">
      <dgm:prSet presAssocID="{2D773915-18C7-4709-9D88-FC75C8FE5485}" presName="levelTx" presStyleLbl="revTx" presStyleIdx="0" presStyleCnt="0">
        <dgm:presLayoutVars>
          <dgm:chMax val="1"/>
          <dgm:bulletEnabled val="1"/>
        </dgm:presLayoutVars>
      </dgm:prSet>
      <dgm:spPr/>
    </dgm:pt>
    <dgm:pt modelId="{A7DADF21-B9BC-45E9-AAF2-6B9C06145205}" type="pres">
      <dgm:prSet presAssocID="{68A7BA9B-1830-4321-B0CB-356C422DE106}" presName="Name8" presStyleCnt="0"/>
      <dgm:spPr/>
    </dgm:pt>
    <dgm:pt modelId="{2F9EBEA4-5B2F-42E2-A9E6-91F3DDB47613}" type="pres">
      <dgm:prSet presAssocID="{68A7BA9B-1830-4321-B0CB-356C422DE106}" presName="level" presStyleLbl="node1" presStyleIdx="3" presStyleCnt="5">
        <dgm:presLayoutVars>
          <dgm:chMax val="1"/>
          <dgm:bulletEnabled val="1"/>
        </dgm:presLayoutVars>
      </dgm:prSet>
      <dgm:spPr/>
    </dgm:pt>
    <dgm:pt modelId="{0ED98E7B-732B-4E00-87E4-595B571DDBE6}" type="pres">
      <dgm:prSet presAssocID="{68A7BA9B-1830-4321-B0CB-356C422DE106}" presName="levelTx" presStyleLbl="revTx" presStyleIdx="0" presStyleCnt="0">
        <dgm:presLayoutVars>
          <dgm:chMax val="1"/>
          <dgm:bulletEnabled val="1"/>
        </dgm:presLayoutVars>
      </dgm:prSet>
      <dgm:spPr/>
    </dgm:pt>
    <dgm:pt modelId="{FDF996B9-C3E3-4964-8BCE-0877C3D8825A}" type="pres">
      <dgm:prSet presAssocID="{B0D5ACED-3E0A-4F7D-A1B1-7605507C5B26}" presName="Name8" presStyleCnt="0"/>
      <dgm:spPr/>
    </dgm:pt>
    <dgm:pt modelId="{9098E5D6-4116-419B-AF60-9655642D225D}" type="pres">
      <dgm:prSet presAssocID="{B0D5ACED-3E0A-4F7D-A1B1-7605507C5B26}" presName="level" presStyleLbl="node1" presStyleIdx="4" presStyleCnt="5">
        <dgm:presLayoutVars>
          <dgm:chMax val="1"/>
          <dgm:bulletEnabled val="1"/>
        </dgm:presLayoutVars>
      </dgm:prSet>
      <dgm:spPr/>
    </dgm:pt>
    <dgm:pt modelId="{4C7126D8-0C64-4AB1-9C23-83A72398FFE4}" type="pres">
      <dgm:prSet presAssocID="{B0D5ACED-3E0A-4F7D-A1B1-7605507C5B26}" presName="levelTx" presStyleLbl="revTx" presStyleIdx="0" presStyleCnt="0">
        <dgm:presLayoutVars>
          <dgm:chMax val="1"/>
          <dgm:bulletEnabled val="1"/>
        </dgm:presLayoutVars>
      </dgm:prSet>
      <dgm:spPr/>
    </dgm:pt>
  </dgm:ptLst>
  <dgm:cxnLst>
    <dgm:cxn modelId="{50AFE60A-ACBB-4092-A0FB-B3DB17F4ED52}" type="presOf" srcId="{9C6446E9-317A-439C-AF63-49F20D98776C}" destId="{DD00DC2C-881F-4CC2-853C-EA621B98B8DC}" srcOrd="1" destOrd="0" presId="urn:microsoft.com/office/officeart/2005/8/layout/pyramid1"/>
    <dgm:cxn modelId="{814A841A-4AD8-4CC2-ADDB-4677B8746495}" type="presOf" srcId="{9C311FF0-ECD2-4110-9BA7-6C137F32B46D}" destId="{9BA18F74-7A01-40FD-81EB-169519C473B9}" srcOrd="1" destOrd="0" presId="urn:microsoft.com/office/officeart/2005/8/layout/pyramid1"/>
    <dgm:cxn modelId="{2EE77A2B-59B1-43DD-9B7E-B77B93FFA4C2}" srcId="{5A493464-69F4-4D53-AB02-B935C356FCBD}" destId="{9C311FF0-ECD2-4110-9BA7-6C137F32B46D}" srcOrd="1" destOrd="0" parTransId="{A23816FE-8A0E-49E5-B1D9-164DCE2F6EC9}" sibTransId="{AF10863A-5B67-4E22-BC0D-0512BB70D645}"/>
    <dgm:cxn modelId="{6BDA6730-4A24-4556-B4F4-73F7561198C8}" type="presOf" srcId="{B0D5ACED-3E0A-4F7D-A1B1-7605507C5B26}" destId="{9098E5D6-4116-419B-AF60-9655642D225D}" srcOrd="0" destOrd="0" presId="urn:microsoft.com/office/officeart/2005/8/layout/pyramid1"/>
    <dgm:cxn modelId="{6B9C795B-2428-439F-BC31-5B66D2B91B76}" srcId="{5A493464-69F4-4D53-AB02-B935C356FCBD}" destId="{9C6446E9-317A-439C-AF63-49F20D98776C}" srcOrd="0" destOrd="0" parTransId="{63450254-871A-4273-8F59-3CD38B4360A7}" sibTransId="{29003DFB-25AD-4C53-9C0B-54E38214A782}"/>
    <dgm:cxn modelId="{082D0162-79F6-4FD9-8487-D4E637FD1CF8}" type="presOf" srcId="{9C311FF0-ECD2-4110-9BA7-6C137F32B46D}" destId="{F189CB13-6149-42D8-B239-125163967847}" srcOrd="0" destOrd="0" presId="urn:microsoft.com/office/officeart/2005/8/layout/pyramid1"/>
    <dgm:cxn modelId="{DDFE3581-6B02-4599-95D8-D8DD79F4F0FC}" type="presOf" srcId="{5A493464-69F4-4D53-AB02-B935C356FCBD}" destId="{41024BB0-4C4A-4441-9EB5-B19E49B6C4D8}" srcOrd="0" destOrd="0" presId="urn:microsoft.com/office/officeart/2005/8/layout/pyramid1"/>
    <dgm:cxn modelId="{43E20084-3719-4A76-A0D5-CD1DD9A1E69D}" srcId="{5A493464-69F4-4D53-AB02-B935C356FCBD}" destId="{68A7BA9B-1830-4321-B0CB-356C422DE106}" srcOrd="3" destOrd="0" parTransId="{712D3655-D715-4642-9B8F-5FABB4B7F966}" sibTransId="{D609FDD2-B532-4196-A2CA-732C4D730ABB}"/>
    <dgm:cxn modelId="{AFD1AE97-119C-4A6B-82D0-9CFF9F24447F}" type="presOf" srcId="{2D773915-18C7-4709-9D88-FC75C8FE5485}" destId="{88EB146E-4A91-47EF-8252-300160E6FDDC}" srcOrd="1" destOrd="0" presId="urn:microsoft.com/office/officeart/2005/8/layout/pyramid1"/>
    <dgm:cxn modelId="{5ED099AF-99F0-4CD5-A790-AFD3EED4C992}" type="presOf" srcId="{68A7BA9B-1830-4321-B0CB-356C422DE106}" destId="{0ED98E7B-732B-4E00-87E4-595B571DDBE6}" srcOrd="1" destOrd="0" presId="urn:microsoft.com/office/officeart/2005/8/layout/pyramid1"/>
    <dgm:cxn modelId="{66939BB5-5F74-4997-9C7A-856FB0794E44}" srcId="{5A493464-69F4-4D53-AB02-B935C356FCBD}" destId="{B0D5ACED-3E0A-4F7D-A1B1-7605507C5B26}" srcOrd="4" destOrd="0" parTransId="{27A50339-7A92-4300-9140-F51B247B9194}" sibTransId="{9672F7E9-96C3-40E4-8BCC-463EF82DEF85}"/>
    <dgm:cxn modelId="{A3628ABD-F46F-44CD-AF09-CF93D4474919}" type="presOf" srcId="{68A7BA9B-1830-4321-B0CB-356C422DE106}" destId="{2F9EBEA4-5B2F-42E2-A9E6-91F3DDB47613}" srcOrd="0" destOrd="0" presId="urn:microsoft.com/office/officeart/2005/8/layout/pyramid1"/>
    <dgm:cxn modelId="{CC8BCBC5-71C1-4CAC-9A12-EA5577407945}" type="presOf" srcId="{B0D5ACED-3E0A-4F7D-A1B1-7605507C5B26}" destId="{4C7126D8-0C64-4AB1-9C23-83A72398FFE4}" srcOrd="1" destOrd="0" presId="urn:microsoft.com/office/officeart/2005/8/layout/pyramid1"/>
    <dgm:cxn modelId="{073EE6DC-066D-45F3-B674-F49CE7AB265B}" srcId="{5A493464-69F4-4D53-AB02-B935C356FCBD}" destId="{2D773915-18C7-4709-9D88-FC75C8FE5485}" srcOrd="2" destOrd="0" parTransId="{3B45119B-2EB2-4FA4-B6D6-535CAFFD631C}" sibTransId="{C514CE59-5B86-49F8-A95D-24A3F44F8B03}"/>
    <dgm:cxn modelId="{60B6AFDF-4BCD-4FA8-84C8-AD741AADC5FA}" type="presOf" srcId="{9C6446E9-317A-439C-AF63-49F20D98776C}" destId="{3B75FCDB-1066-4B26-A274-8C21F8F87AD7}" srcOrd="0" destOrd="0" presId="urn:microsoft.com/office/officeart/2005/8/layout/pyramid1"/>
    <dgm:cxn modelId="{0CB7EDFA-6A3E-41BA-9037-592B8B4ECD11}" type="presOf" srcId="{2D773915-18C7-4709-9D88-FC75C8FE5485}" destId="{DF1F3154-9451-41D0-AB90-84328714D88A}" srcOrd="0" destOrd="0" presId="urn:microsoft.com/office/officeart/2005/8/layout/pyramid1"/>
    <dgm:cxn modelId="{7D105E58-91D8-4E32-B931-4FB85D3E10A0}" type="presParOf" srcId="{41024BB0-4C4A-4441-9EB5-B19E49B6C4D8}" destId="{7438217A-1A68-444C-B5D7-4A19ADCBC9F6}" srcOrd="0" destOrd="0" presId="urn:microsoft.com/office/officeart/2005/8/layout/pyramid1"/>
    <dgm:cxn modelId="{22CD3931-C072-44CD-9EDD-947E01628C5A}" type="presParOf" srcId="{7438217A-1A68-444C-B5D7-4A19ADCBC9F6}" destId="{3B75FCDB-1066-4B26-A274-8C21F8F87AD7}" srcOrd="0" destOrd="0" presId="urn:microsoft.com/office/officeart/2005/8/layout/pyramid1"/>
    <dgm:cxn modelId="{F56FF9A4-4AB9-4FBE-BD58-83F2C5744657}" type="presParOf" srcId="{7438217A-1A68-444C-B5D7-4A19ADCBC9F6}" destId="{DD00DC2C-881F-4CC2-853C-EA621B98B8DC}" srcOrd="1" destOrd="0" presId="urn:microsoft.com/office/officeart/2005/8/layout/pyramid1"/>
    <dgm:cxn modelId="{56F01344-CDAC-43EF-A3DC-BA0FC9E77D46}" type="presParOf" srcId="{41024BB0-4C4A-4441-9EB5-B19E49B6C4D8}" destId="{F70AE777-1DA5-4E8C-B4D9-B93AACA62E2E}" srcOrd="1" destOrd="0" presId="urn:microsoft.com/office/officeart/2005/8/layout/pyramid1"/>
    <dgm:cxn modelId="{49224660-02F0-47CA-8D58-2D99403F8158}" type="presParOf" srcId="{F70AE777-1DA5-4E8C-B4D9-B93AACA62E2E}" destId="{F189CB13-6149-42D8-B239-125163967847}" srcOrd="0" destOrd="0" presId="urn:microsoft.com/office/officeart/2005/8/layout/pyramid1"/>
    <dgm:cxn modelId="{2F420E6A-F1D9-4931-8BC1-5E932B94C535}" type="presParOf" srcId="{F70AE777-1DA5-4E8C-B4D9-B93AACA62E2E}" destId="{9BA18F74-7A01-40FD-81EB-169519C473B9}" srcOrd="1" destOrd="0" presId="urn:microsoft.com/office/officeart/2005/8/layout/pyramid1"/>
    <dgm:cxn modelId="{AB72492E-DEB7-40F1-B4F8-3DC9F3E434B7}" type="presParOf" srcId="{41024BB0-4C4A-4441-9EB5-B19E49B6C4D8}" destId="{F9C38E03-FC17-4AEC-B531-F4A785B25859}" srcOrd="2" destOrd="0" presId="urn:microsoft.com/office/officeart/2005/8/layout/pyramid1"/>
    <dgm:cxn modelId="{08ED7EDD-BBEA-4B40-A5A1-B5911B606E93}" type="presParOf" srcId="{F9C38E03-FC17-4AEC-B531-F4A785B25859}" destId="{DF1F3154-9451-41D0-AB90-84328714D88A}" srcOrd="0" destOrd="0" presId="urn:microsoft.com/office/officeart/2005/8/layout/pyramid1"/>
    <dgm:cxn modelId="{A6B9DC8D-2829-4CF5-8239-0C0CA5C76A2C}" type="presParOf" srcId="{F9C38E03-FC17-4AEC-B531-F4A785B25859}" destId="{88EB146E-4A91-47EF-8252-300160E6FDDC}" srcOrd="1" destOrd="0" presId="urn:microsoft.com/office/officeart/2005/8/layout/pyramid1"/>
    <dgm:cxn modelId="{6664AF0B-4BAC-49A0-8D28-4DEAA2C132A6}" type="presParOf" srcId="{41024BB0-4C4A-4441-9EB5-B19E49B6C4D8}" destId="{A7DADF21-B9BC-45E9-AAF2-6B9C06145205}" srcOrd="3" destOrd="0" presId="urn:microsoft.com/office/officeart/2005/8/layout/pyramid1"/>
    <dgm:cxn modelId="{43EAEEB7-B435-4CA4-838C-9ED12019253C}" type="presParOf" srcId="{A7DADF21-B9BC-45E9-AAF2-6B9C06145205}" destId="{2F9EBEA4-5B2F-42E2-A9E6-91F3DDB47613}" srcOrd="0" destOrd="0" presId="urn:microsoft.com/office/officeart/2005/8/layout/pyramid1"/>
    <dgm:cxn modelId="{5D4DBEC9-5A41-4BCE-A080-35E2066B966E}" type="presParOf" srcId="{A7DADF21-B9BC-45E9-AAF2-6B9C06145205}" destId="{0ED98E7B-732B-4E00-87E4-595B571DDBE6}" srcOrd="1" destOrd="0" presId="urn:microsoft.com/office/officeart/2005/8/layout/pyramid1"/>
    <dgm:cxn modelId="{7A8DBF48-0EEF-4E9A-98C5-EF201461C086}" type="presParOf" srcId="{41024BB0-4C4A-4441-9EB5-B19E49B6C4D8}" destId="{FDF996B9-C3E3-4964-8BCE-0877C3D8825A}" srcOrd="4" destOrd="0" presId="urn:microsoft.com/office/officeart/2005/8/layout/pyramid1"/>
    <dgm:cxn modelId="{FB2256FA-6660-48E0-BCCB-FEB932708AE1}" type="presParOf" srcId="{FDF996B9-C3E3-4964-8BCE-0877C3D8825A}" destId="{9098E5D6-4116-419B-AF60-9655642D225D}" srcOrd="0" destOrd="0" presId="urn:microsoft.com/office/officeart/2005/8/layout/pyramid1"/>
    <dgm:cxn modelId="{0CCC2460-0D4D-4C1A-8571-0D671A1C48CE}" type="presParOf" srcId="{FDF996B9-C3E3-4964-8BCE-0877C3D8825A}" destId="{4C7126D8-0C64-4AB1-9C23-83A72398FFE4}" srcOrd="1" destOrd="0" presId="urn:microsoft.com/office/officeart/2005/8/layout/pyramid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75FCDB-1066-4B26-A274-8C21F8F87AD7}">
      <dsp:nvSpPr>
        <dsp:cNvPr id="0" name=""/>
        <dsp:cNvSpPr/>
      </dsp:nvSpPr>
      <dsp:spPr>
        <a:xfrm>
          <a:off x="1340256" y="0"/>
          <a:ext cx="1340255" cy="941668"/>
        </a:xfrm>
        <a:prstGeom prst="trapezoid">
          <a:avLst>
            <a:gd name="adj" fmla="val 71164"/>
          </a:avLst>
        </a:prstGeom>
        <a:gradFill rotWithShape="0">
          <a:gsLst>
            <a:gs pos="100000">
              <a:srgbClr val="85E080"/>
            </a:gs>
            <a:gs pos="11000">
              <a:srgbClr val="85E080"/>
            </a:gs>
            <a:gs pos="0">
              <a:srgbClr val="FFF67D"/>
            </a:gs>
          </a:gsLst>
          <a:lin ang="16200000" scaled="1"/>
        </a:gradFill>
        <a:ln>
          <a:noFill/>
        </a:ln>
        <a:effectLst>
          <a:outerShdw blurRad="45000" dist="25000" dir="5400000" rotWithShape="0">
            <a:schemeClr val="bg1">
              <a:alpha val="38000"/>
            </a:scheme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1590" tIns="21590" rIns="21590" bIns="21590" numCol="1" spcCol="1270" anchor="ctr" anchorCtr="0">
          <a:noAutofit/>
        </a:bodyPr>
        <a:lstStyle/>
        <a:p>
          <a:pPr marL="0" lvl="0" indent="0" algn="ctr" defTabSz="755650">
            <a:lnSpc>
              <a:spcPct val="90000"/>
            </a:lnSpc>
            <a:spcBef>
              <a:spcPct val="0"/>
            </a:spcBef>
            <a:spcAft>
              <a:spcPct val="35000"/>
            </a:spcAft>
            <a:buNone/>
          </a:pPr>
          <a:r>
            <a:rPr lang="en-AU" sz="1700" kern="1200">
              <a:solidFill>
                <a:sysClr val="windowText" lastClr="000000"/>
              </a:solidFill>
              <a:effectLst>
                <a:glow rad="228600">
                  <a:schemeClr val="bg1">
                    <a:alpha val="40000"/>
                  </a:schemeClr>
                </a:glow>
              </a:effectLst>
            </a:rPr>
            <a:t>Renewables &amp; Cogeneration</a:t>
          </a:r>
        </a:p>
      </dsp:txBody>
      <dsp:txXfrm>
        <a:off x="1340256" y="0"/>
        <a:ext cx="1340255" cy="941668"/>
      </dsp:txXfrm>
    </dsp:sp>
    <dsp:sp modelId="{DF1F3154-9451-41D0-AB90-84328714D88A}">
      <dsp:nvSpPr>
        <dsp:cNvPr id="0" name=""/>
        <dsp:cNvSpPr/>
      </dsp:nvSpPr>
      <dsp:spPr>
        <a:xfrm>
          <a:off x="670128" y="941668"/>
          <a:ext cx="2680511" cy="941668"/>
        </a:xfrm>
        <a:prstGeom prst="trapezoid">
          <a:avLst>
            <a:gd name="adj" fmla="val 71164"/>
          </a:avLst>
        </a:prstGeom>
        <a:gradFill rotWithShape="0">
          <a:gsLst>
            <a:gs pos="2000">
              <a:srgbClr val="FDBA58"/>
            </a:gs>
            <a:gs pos="28000">
              <a:srgbClr val="FFF67D"/>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1590" tIns="21590" rIns="21590" bIns="21590" numCol="1" spcCol="1270" anchor="ctr" anchorCtr="0">
          <a:noAutofit/>
        </a:bodyPr>
        <a:lstStyle/>
        <a:p>
          <a:pPr marL="0" lvl="0" indent="0" algn="ctr" defTabSz="755650">
            <a:lnSpc>
              <a:spcPct val="90000"/>
            </a:lnSpc>
            <a:spcBef>
              <a:spcPct val="0"/>
            </a:spcBef>
            <a:spcAft>
              <a:spcPct val="35000"/>
            </a:spcAft>
            <a:buNone/>
          </a:pPr>
          <a:r>
            <a:rPr lang="en-AU" sz="1700" kern="1200">
              <a:solidFill>
                <a:sysClr val="windowText" lastClr="000000"/>
              </a:solidFill>
              <a:effectLst>
                <a:glow rad="228600">
                  <a:schemeClr val="bg1">
                    <a:alpha val="40000"/>
                  </a:schemeClr>
                </a:glow>
              </a:effectLst>
            </a:rPr>
            <a:t>Process Improvements &amp; Efficient Equipment</a:t>
          </a:r>
        </a:p>
      </dsp:txBody>
      <dsp:txXfrm>
        <a:off x="1139217" y="941668"/>
        <a:ext cx="1742332" cy="941668"/>
      </dsp:txXfrm>
    </dsp:sp>
    <dsp:sp modelId="{9098E5D6-4116-419B-AF60-9655642D225D}">
      <dsp:nvSpPr>
        <dsp:cNvPr id="0" name=""/>
        <dsp:cNvSpPr/>
      </dsp:nvSpPr>
      <dsp:spPr>
        <a:xfrm>
          <a:off x="0" y="1883336"/>
          <a:ext cx="4020767" cy="941668"/>
        </a:xfrm>
        <a:prstGeom prst="trapezoid">
          <a:avLst>
            <a:gd name="adj" fmla="val 71164"/>
          </a:avLst>
        </a:prstGeom>
        <a:gradFill rotWithShape="0">
          <a:gsLst>
            <a:gs pos="31000">
              <a:srgbClr val="FF4D1D"/>
            </a:gs>
            <a:gs pos="78000">
              <a:srgbClr val="FDB555"/>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21590" tIns="21590" rIns="21590" bIns="21590" numCol="1" spcCol="1270" anchor="ctr" anchorCtr="0">
          <a:noAutofit/>
        </a:bodyPr>
        <a:lstStyle/>
        <a:p>
          <a:pPr marL="0" lvl="0" indent="0" algn="ctr" defTabSz="755650">
            <a:lnSpc>
              <a:spcPct val="90000"/>
            </a:lnSpc>
            <a:spcBef>
              <a:spcPct val="0"/>
            </a:spcBef>
            <a:spcAft>
              <a:spcPct val="35000"/>
            </a:spcAft>
            <a:buNone/>
          </a:pPr>
          <a:r>
            <a:rPr lang="en-AU" sz="1700" kern="1200">
              <a:solidFill>
                <a:sysClr val="windowText" lastClr="000000"/>
              </a:solidFill>
              <a:effectLst>
                <a:glow rad="228600">
                  <a:schemeClr val="bg1">
                    <a:alpha val="40000"/>
                  </a:schemeClr>
                </a:glow>
              </a:effectLst>
            </a:rPr>
            <a:t>Housekeeping</a:t>
          </a:r>
        </a:p>
      </dsp:txBody>
      <dsp:txXfrm>
        <a:off x="703634" y="1883336"/>
        <a:ext cx="2613499" cy="94166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75FCDB-1066-4B26-A274-8C21F8F87AD7}">
      <dsp:nvSpPr>
        <dsp:cNvPr id="0" name=""/>
        <dsp:cNvSpPr/>
      </dsp:nvSpPr>
      <dsp:spPr>
        <a:xfrm>
          <a:off x="1824924" y="0"/>
          <a:ext cx="912462" cy="576482"/>
        </a:xfrm>
        <a:prstGeom prst="trapezoid">
          <a:avLst>
            <a:gd name="adj" fmla="val 79141"/>
          </a:avLst>
        </a:prstGeom>
        <a:gradFill rotWithShape="0">
          <a:gsLst>
            <a:gs pos="0">
              <a:schemeClr val="accent5">
                <a:hueOff val="0"/>
                <a:satOff val="0"/>
                <a:lumOff val="0"/>
                <a:alphaOff val="0"/>
                <a:tint val="50000"/>
                <a:satMod val="300000"/>
              </a:schemeClr>
            </a:gs>
            <a:gs pos="35000">
              <a:schemeClr val="accent5">
                <a:hueOff val="0"/>
                <a:satOff val="0"/>
                <a:lumOff val="0"/>
                <a:alphaOff val="0"/>
                <a:tint val="37000"/>
                <a:satMod val="300000"/>
              </a:schemeClr>
            </a:gs>
            <a:gs pos="100000">
              <a:schemeClr val="accent5">
                <a:hueOff val="0"/>
                <a:satOff val="0"/>
                <a:lumOff val="0"/>
                <a:alphaOff val="0"/>
                <a:tint val="15000"/>
                <a:satMod val="350000"/>
              </a:schemeClr>
            </a:gs>
          </a:gsLst>
          <a:lin ang="16200000" scaled="1"/>
        </a:gradFill>
        <a:ln>
          <a:noFill/>
        </a:ln>
        <a:effectLst>
          <a:outerShdw blurRad="45000" dist="25000" dir="5400000" rotWithShape="0">
            <a:schemeClr val="bg1">
              <a:alpha val="38000"/>
            </a:scheme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n-AU" sz="1200" kern="1200">
              <a:solidFill>
                <a:sysClr val="windowText" lastClr="000000"/>
              </a:solidFill>
              <a:effectLst>
                <a:glow rad="228600">
                  <a:schemeClr val="bg1">
                    <a:alpha val="40000"/>
                  </a:schemeClr>
                </a:glow>
              </a:effectLst>
            </a:rPr>
            <a:t>Renewables</a:t>
          </a:r>
        </a:p>
      </dsp:txBody>
      <dsp:txXfrm>
        <a:off x="1824924" y="0"/>
        <a:ext cx="912462" cy="576482"/>
      </dsp:txXfrm>
    </dsp:sp>
    <dsp:sp modelId="{F189CB13-6149-42D8-B239-125163967847}">
      <dsp:nvSpPr>
        <dsp:cNvPr id="0" name=""/>
        <dsp:cNvSpPr/>
      </dsp:nvSpPr>
      <dsp:spPr>
        <a:xfrm>
          <a:off x="1368693" y="576482"/>
          <a:ext cx="1824924" cy="576482"/>
        </a:xfrm>
        <a:prstGeom prst="trapezoid">
          <a:avLst>
            <a:gd name="adj" fmla="val 79141"/>
          </a:avLst>
        </a:prstGeom>
        <a:gradFill rotWithShape="0">
          <a:gsLst>
            <a:gs pos="0">
              <a:schemeClr val="accent5">
                <a:hueOff val="2983188"/>
                <a:satOff val="-16339"/>
                <a:lumOff val="-980"/>
                <a:alphaOff val="0"/>
                <a:tint val="50000"/>
                <a:satMod val="300000"/>
              </a:schemeClr>
            </a:gs>
            <a:gs pos="35000">
              <a:schemeClr val="accent5">
                <a:hueOff val="2983188"/>
                <a:satOff val="-16339"/>
                <a:lumOff val="-980"/>
                <a:alphaOff val="0"/>
                <a:tint val="37000"/>
                <a:satMod val="300000"/>
              </a:schemeClr>
            </a:gs>
            <a:gs pos="100000">
              <a:schemeClr val="accent5">
                <a:hueOff val="2983188"/>
                <a:satOff val="-16339"/>
                <a:lumOff val="-980"/>
                <a:alphaOff val="0"/>
                <a:tint val="15000"/>
                <a:satMod val="350000"/>
              </a:schemeClr>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n-AU" sz="1200" kern="1200">
              <a:solidFill>
                <a:sysClr val="windowText" lastClr="000000"/>
              </a:solidFill>
              <a:effectLst>
                <a:glow rad="228600">
                  <a:schemeClr val="bg1">
                    <a:alpha val="40000"/>
                  </a:schemeClr>
                </a:glow>
              </a:effectLst>
            </a:rPr>
            <a:t>Cogeneration</a:t>
          </a:r>
        </a:p>
      </dsp:txBody>
      <dsp:txXfrm>
        <a:off x="1688054" y="576482"/>
        <a:ext cx="1186200" cy="576482"/>
      </dsp:txXfrm>
    </dsp:sp>
    <dsp:sp modelId="{DF1F3154-9451-41D0-AB90-84328714D88A}">
      <dsp:nvSpPr>
        <dsp:cNvPr id="0" name=""/>
        <dsp:cNvSpPr/>
      </dsp:nvSpPr>
      <dsp:spPr>
        <a:xfrm>
          <a:off x="912462" y="1152964"/>
          <a:ext cx="2737386" cy="576482"/>
        </a:xfrm>
        <a:prstGeom prst="trapezoid">
          <a:avLst>
            <a:gd name="adj" fmla="val 79141"/>
          </a:avLst>
        </a:prstGeom>
        <a:gradFill rotWithShape="0">
          <a:gsLst>
            <a:gs pos="0">
              <a:schemeClr val="accent5">
                <a:hueOff val="5966377"/>
                <a:satOff val="-32678"/>
                <a:lumOff val="-1961"/>
                <a:alphaOff val="0"/>
                <a:tint val="50000"/>
                <a:satMod val="300000"/>
              </a:schemeClr>
            </a:gs>
            <a:gs pos="35000">
              <a:schemeClr val="accent5">
                <a:hueOff val="5966377"/>
                <a:satOff val="-32678"/>
                <a:lumOff val="-1961"/>
                <a:alphaOff val="0"/>
                <a:tint val="37000"/>
                <a:satMod val="300000"/>
              </a:schemeClr>
            </a:gs>
            <a:gs pos="100000">
              <a:schemeClr val="accent5">
                <a:hueOff val="5966377"/>
                <a:satOff val="-32678"/>
                <a:lumOff val="-1961"/>
                <a:alphaOff val="0"/>
                <a:tint val="15000"/>
                <a:satMod val="350000"/>
              </a:schemeClr>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n-AU" sz="1200" kern="1200">
              <a:solidFill>
                <a:sysClr val="windowText" lastClr="000000"/>
              </a:solidFill>
              <a:effectLst>
                <a:glow rad="228600">
                  <a:schemeClr val="bg1">
                    <a:alpha val="40000"/>
                  </a:schemeClr>
                </a:glow>
              </a:effectLst>
            </a:rPr>
            <a:t>Process Improvements</a:t>
          </a:r>
        </a:p>
      </dsp:txBody>
      <dsp:txXfrm>
        <a:off x="1391504" y="1152964"/>
        <a:ext cx="1779300" cy="576482"/>
      </dsp:txXfrm>
    </dsp:sp>
    <dsp:sp modelId="{2F9EBEA4-5B2F-42E2-A9E6-91F3DDB47613}">
      <dsp:nvSpPr>
        <dsp:cNvPr id="0" name=""/>
        <dsp:cNvSpPr/>
      </dsp:nvSpPr>
      <dsp:spPr>
        <a:xfrm>
          <a:off x="456231" y="1729446"/>
          <a:ext cx="3649848" cy="576482"/>
        </a:xfrm>
        <a:prstGeom prst="trapezoid">
          <a:avLst>
            <a:gd name="adj" fmla="val 79141"/>
          </a:avLst>
        </a:prstGeom>
        <a:gradFill rotWithShape="0">
          <a:gsLst>
            <a:gs pos="0">
              <a:schemeClr val="accent5">
                <a:hueOff val="8949565"/>
                <a:satOff val="-49017"/>
                <a:lumOff val="-2941"/>
                <a:alphaOff val="0"/>
                <a:tint val="50000"/>
                <a:satMod val="300000"/>
              </a:schemeClr>
            </a:gs>
            <a:gs pos="35000">
              <a:schemeClr val="accent5">
                <a:hueOff val="8949565"/>
                <a:satOff val="-49017"/>
                <a:lumOff val="-2941"/>
                <a:alphaOff val="0"/>
                <a:tint val="37000"/>
                <a:satMod val="300000"/>
              </a:schemeClr>
            </a:gs>
            <a:gs pos="100000">
              <a:schemeClr val="accent5">
                <a:hueOff val="8949565"/>
                <a:satOff val="-49017"/>
                <a:lumOff val="-2941"/>
                <a:alphaOff val="0"/>
                <a:tint val="15000"/>
                <a:satMod val="350000"/>
              </a:schemeClr>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n-AU" sz="1200" kern="1200">
              <a:solidFill>
                <a:sysClr val="windowText" lastClr="000000"/>
              </a:solidFill>
              <a:effectLst>
                <a:glow rad="228600">
                  <a:schemeClr val="bg1">
                    <a:alpha val="40000"/>
                  </a:schemeClr>
                </a:glow>
              </a:effectLst>
            </a:rPr>
            <a:t>Efficient Equipment</a:t>
          </a:r>
        </a:p>
      </dsp:txBody>
      <dsp:txXfrm>
        <a:off x="1094954" y="1729446"/>
        <a:ext cx="2372401" cy="576482"/>
      </dsp:txXfrm>
    </dsp:sp>
    <dsp:sp modelId="{9098E5D6-4116-419B-AF60-9655642D225D}">
      <dsp:nvSpPr>
        <dsp:cNvPr id="0" name=""/>
        <dsp:cNvSpPr/>
      </dsp:nvSpPr>
      <dsp:spPr>
        <a:xfrm>
          <a:off x="0" y="2305928"/>
          <a:ext cx="4562310" cy="576482"/>
        </a:xfrm>
        <a:prstGeom prst="trapezoid">
          <a:avLst>
            <a:gd name="adj" fmla="val 79141"/>
          </a:avLst>
        </a:prstGeom>
        <a:gradFill rotWithShape="0">
          <a:gsLst>
            <a:gs pos="0">
              <a:schemeClr val="accent5">
                <a:hueOff val="11932754"/>
                <a:satOff val="-65356"/>
                <a:lumOff val="-3922"/>
                <a:alphaOff val="0"/>
                <a:tint val="50000"/>
                <a:satMod val="300000"/>
              </a:schemeClr>
            </a:gs>
            <a:gs pos="35000">
              <a:schemeClr val="accent5">
                <a:hueOff val="11932754"/>
                <a:satOff val="-65356"/>
                <a:lumOff val="-3922"/>
                <a:alphaOff val="0"/>
                <a:tint val="37000"/>
                <a:satMod val="300000"/>
              </a:schemeClr>
            </a:gs>
            <a:gs pos="100000">
              <a:schemeClr val="accent5">
                <a:hueOff val="11932754"/>
                <a:satOff val="-65356"/>
                <a:lumOff val="-3922"/>
                <a:alphaOff val="0"/>
                <a:tint val="15000"/>
                <a:satMod val="350000"/>
              </a:schemeClr>
            </a:gs>
          </a:gsLst>
          <a:lin ang="16200000" scaled="1"/>
        </a:gradFill>
        <a:ln>
          <a:noFill/>
        </a:ln>
        <a:effectLst>
          <a:outerShdw blurRad="45000" dist="25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r>
            <a:rPr lang="en-AU" sz="1200" kern="1200">
              <a:solidFill>
                <a:sysClr val="windowText" lastClr="000000"/>
              </a:solidFill>
              <a:effectLst>
                <a:glow rad="228600">
                  <a:schemeClr val="bg1">
                    <a:alpha val="40000"/>
                  </a:schemeClr>
                </a:glow>
              </a:effectLst>
            </a:rPr>
            <a:t>Housekeeping</a:t>
          </a:r>
        </a:p>
      </dsp:txBody>
      <dsp:txXfrm>
        <a:off x="798404" y="2305928"/>
        <a:ext cx="2965501" cy="576482"/>
      </dsp:txXfrm>
    </dsp:sp>
  </dsp:spTree>
</dsp:drawing>
</file>

<file path=xl/diagrams/layout1.xml><?xml version="1.0" encoding="utf-8"?>
<dgm:layoutDef xmlns:dgm="http://schemas.openxmlformats.org/drawingml/2006/diagram" xmlns:a="http://schemas.openxmlformats.org/drawingml/2006/main" uniqueId="urn:microsoft.com/office/officeart/2005/8/layout/pyramid1">
  <dgm:title val=""/>
  <dgm:desc val=""/>
  <dgm:catLst>
    <dgm:cat type="pyramid" pri="1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pyra">
          <dgm:param type="linDir" val="fromB"/>
          <dgm:param type="txDir" val="fromT"/>
          <dgm:param type="pyraAcctPos" val="aft"/>
          <dgm:param type="pyraAcctTxMar" val="step"/>
          <dgm:param type="pyraAcctBkgdNode" val="acctBkgd"/>
          <dgm:param type="pyraAcctTxNode" val="acctTx"/>
          <dgm:param type="pyraLvlNode" val="level"/>
        </dgm:alg>
      </dgm:if>
      <dgm:else name="Name3">
        <dgm:alg type="pyra">
          <dgm:param type="linDir" val="fromB"/>
          <dgm:param type="txDir" val="fromT"/>
          <dgm:param type="pyraAcctPos" val="bef"/>
          <dgm:param type="pyraAcctTxMar" val="step"/>
          <dgm:param type="pyraAcctBkgdNode" val="acctBkgd"/>
          <dgm:param type="pyraAcctTxNode" val="acctTx"/>
          <dgm:param type="pyraLvlNode" val="level"/>
        </dgm:alg>
      </dgm:else>
    </dgm:choose>
    <dgm:shape xmlns:r="http://schemas.openxmlformats.org/officeDocument/2006/relationships" r:blip="">
      <dgm:adjLst/>
    </dgm:shape>
    <dgm:presOf/>
    <dgm:choose name="Name4">
      <dgm:if name="Name5" axis="root des" ptType="all node" func="maxDepth" op="gte" val="2">
        <dgm:constrLst>
          <dgm:constr type="primFontSz" for="des" forName="levelTx" op="equ"/>
          <dgm:constr type="secFontSz" for="des" forName="acctTx" op="equ"/>
          <dgm:constr type="pyraAcctRatio" val="0.32"/>
        </dgm:constrLst>
      </dgm:if>
      <dgm:else name="Name6">
        <dgm:constrLst>
          <dgm:constr type="primFontSz" for="des" forName="levelTx" op="equ"/>
          <dgm:constr type="secFontSz" for="des" forName="acctTx" op="equ"/>
          <dgm:constr type="pyraAcctRatio"/>
        </dgm:constrLst>
      </dgm:else>
    </dgm:choose>
    <dgm:ruleLst/>
    <dgm:forEach name="Name7" axis="ch" ptType="node">
      <dgm:layoutNode name="Name8">
        <dgm:alg type="composite">
          <dgm:param type="horzAlign" val="none"/>
        </dgm:alg>
        <dgm:shape xmlns:r="http://schemas.openxmlformats.org/officeDocument/2006/relationships" r:blip="">
          <dgm:adjLst/>
        </dgm:shape>
        <dgm:presOf/>
        <dgm:choose name="Name9">
          <dgm:if name="Name10" axis="self" ptType="node" func="pos" op="equ" val="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dgm:constr type="h" for="ch" forName="levelTx" refType="h" refFor="ch" refForName="level"/>
            </dgm:constrLst>
          </dgm:if>
          <dgm:else name="Name1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fact="0.65"/>
              <dgm:constr type="h" for="ch" forName="levelTx" refType="h" refFor="ch" refForName="level"/>
            </dgm:constrLst>
          </dgm:else>
        </dgm:choose>
        <dgm:ruleLst/>
        <dgm:choose name="Name12">
          <dgm:if name="Name13" axis="ch" ptType="node" func="cnt" op="gte" val="1">
            <dgm:layoutNode name="acctBkgd" styleLbl="alignAcc1">
              <dgm:alg type="sp"/>
              <dgm:shape xmlns:r="http://schemas.openxmlformats.org/officeDocument/2006/relationships" type="nonIsoscelesTrapezoid" r:blip="">
                <dgm:adjLst/>
              </dgm:shape>
              <dgm:presOf axis="des" ptType="node"/>
              <dgm:constrLst/>
              <dgm:ruleLst/>
            </dgm:layoutNode>
            <dgm:layoutNode name="acctTx" styleLbl="alignAcc1">
              <dgm:varLst>
                <dgm:bulletEnabled val="1"/>
              </dgm:varLst>
              <dgm:alg type="tx">
                <dgm:param type="stBulletLvl" val="1"/>
                <dgm:param type="txAnchorVertCh" val="mid"/>
              </dgm:alg>
              <dgm:shape xmlns:r="http://schemas.openxmlformats.org/officeDocument/2006/relationships" type="nonIsoscelesTrapezoid" r:blip="" hideGeom="1">
                <dgm:adjLst/>
              </dgm:shape>
              <dgm:presOf axis="des" ptType="node"/>
              <dgm:constrLst>
                <dgm:constr type="secFontSz" val="65"/>
                <dgm:constr type="primFontSz" refType="secFontSz"/>
                <dgm:constr type="tMarg" refType="secFontSz" fact="0.3"/>
                <dgm:constr type="bMarg" refType="secFontSz" fact="0.3"/>
                <dgm:constr type="lMarg" refType="secFontSz" fact="0.3"/>
                <dgm:constr type="rMarg" refType="secFontSz" fact="0.3"/>
              </dgm:constrLst>
              <dgm:ruleLst>
                <dgm:rule type="secFontSz" val="5" fact="NaN" max="NaN"/>
              </dgm:ruleLst>
            </dgm:layoutNode>
          </dgm:if>
          <dgm:else name="Name14"/>
        </dgm:choose>
        <dgm:layoutNode name="level">
          <dgm:varLst>
            <dgm:chMax val="1"/>
            <dgm:bulletEnabled val="1"/>
          </dgm:varLst>
          <dgm:alg type="sp"/>
          <dgm:shape xmlns:r="http://schemas.openxmlformats.org/officeDocument/2006/relationships" type="trapezoid" r:blip="">
            <dgm:adjLst/>
          </dgm:shape>
          <dgm:presOf axis="self"/>
          <dgm:constrLst>
            <dgm:constr type="h" val="500"/>
            <dgm:constr type="w" val="1"/>
          </dgm:constrLst>
          <dgm:ruleLst/>
        </dgm:layoutNode>
        <dgm:layoutNode name="levelTx" styleLbl="revTx">
          <dgm:varLst>
            <dgm:chMax val="1"/>
            <dgm:bulletEnabled val="1"/>
          </dgm:varLst>
          <dgm:alg type="tx"/>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pyramid1">
  <dgm:title val=""/>
  <dgm:desc val=""/>
  <dgm:catLst>
    <dgm:cat type="pyramid" pri="1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pyra">
          <dgm:param type="linDir" val="fromB"/>
          <dgm:param type="txDir" val="fromT"/>
          <dgm:param type="pyraAcctPos" val="aft"/>
          <dgm:param type="pyraAcctTxMar" val="step"/>
          <dgm:param type="pyraAcctBkgdNode" val="acctBkgd"/>
          <dgm:param type="pyraAcctTxNode" val="acctTx"/>
          <dgm:param type="pyraLvlNode" val="level"/>
        </dgm:alg>
      </dgm:if>
      <dgm:else name="Name3">
        <dgm:alg type="pyra">
          <dgm:param type="linDir" val="fromB"/>
          <dgm:param type="txDir" val="fromT"/>
          <dgm:param type="pyraAcctPos" val="bef"/>
          <dgm:param type="pyraAcctTxMar" val="step"/>
          <dgm:param type="pyraAcctBkgdNode" val="acctBkgd"/>
          <dgm:param type="pyraAcctTxNode" val="acctTx"/>
          <dgm:param type="pyraLvlNode" val="level"/>
        </dgm:alg>
      </dgm:else>
    </dgm:choose>
    <dgm:shape xmlns:r="http://schemas.openxmlformats.org/officeDocument/2006/relationships" r:blip="">
      <dgm:adjLst/>
    </dgm:shape>
    <dgm:presOf/>
    <dgm:choose name="Name4">
      <dgm:if name="Name5" axis="root des" ptType="all node" func="maxDepth" op="gte" val="2">
        <dgm:constrLst>
          <dgm:constr type="primFontSz" for="des" forName="levelTx" op="equ"/>
          <dgm:constr type="secFontSz" for="des" forName="acctTx" op="equ"/>
          <dgm:constr type="pyraAcctRatio" val="0.32"/>
        </dgm:constrLst>
      </dgm:if>
      <dgm:else name="Name6">
        <dgm:constrLst>
          <dgm:constr type="primFontSz" for="des" forName="levelTx" op="equ"/>
          <dgm:constr type="secFontSz" for="des" forName="acctTx" op="equ"/>
          <dgm:constr type="pyraAcctRatio"/>
        </dgm:constrLst>
      </dgm:else>
    </dgm:choose>
    <dgm:ruleLst/>
    <dgm:forEach name="Name7" axis="ch" ptType="node">
      <dgm:layoutNode name="Name8">
        <dgm:alg type="composite">
          <dgm:param type="horzAlign" val="none"/>
        </dgm:alg>
        <dgm:shape xmlns:r="http://schemas.openxmlformats.org/officeDocument/2006/relationships" r:blip="">
          <dgm:adjLst/>
        </dgm:shape>
        <dgm:presOf/>
        <dgm:choose name="Name9">
          <dgm:if name="Name10" axis="self" ptType="node" func="pos" op="equ" val="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dgm:constr type="h" for="ch" forName="levelTx" refType="h" refFor="ch" refForName="level"/>
            </dgm:constrLst>
          </dgm:if>
          <dgm:else name="Name11">
            <dgm:constrLst>
              <dgm:constr type="ctrX" for="ch" forName="acctBkgd" val="1"/>
              <dgm:constr type="ctrY" for="ch" forName="acctBkgd" val="1"/>
              <dgm:constr type="w" for="ch" forName="acctBkgd" val="1"/>
              <dgm:constr type="h" for="ch" forName="acctBkgd" val="1"/>
              <dgm:constr type="ctrX" for="ch" forName="acctTx" val="1"/>
              <dgm:constr type="ctrY" for="ch" forName="acctTx" val="1"/>
              <dgm:constr type="w" for="ch" forName="acctTx" val="1"/>
              <dgm:constr type="h" for="ch" forName="acctTx" val="1"/>
              <dgm:constr type="ctrX" for="ch" forName="level" val="1"/>
              <dgm:constr type="ctrY" for="ch" forName="level" val="1"/>
              <dgm:constr type="w" for="ch" forName="level" val="1"/>
              <dgm:constr type="h" for="ch" forName="level" val="1"/>
              <dgm:constr type="ctrX" for="ch" forName="levelTx" refType="ctrX" refFor="ch" refForName="level"/>
              <dgm:constr type="ctrY" for="ch" forName="levelTx" refType="ctrY" refFor="ch" refForName="level"/>
              <dgm:constr type="w" for="ch" forName="levelTx" refType="w" refFor="ch" refForName="level" fact="0.65"/>
              <dgm:constr type="h" for="ch" forName="levelTx" refType="h" refFor="ch" refForName="level"/>
            </dgm:constrLst>
          </dgm:else>
        </dgm:choose>
        <dgm:ruleLst/>
        <dgm:choose name="Name12">
          <dgm:if name="Name13" axis="ch" ptType="node" func="cnt" op="gte" val="1">
            <dgm:layoutNode name="acctBkgd" styleLbl="alignAcc1">
              <dgm:alg type="sp"/>
              <dgm:shape xmlns:r="http://schemas.openxmlformats.org/officeDocument/2006/relationships" type="nonIsoscelesTrapezoid" r:blip="">
                <dgm:adjLst/>
              </dgm:shape>
              <dgm:presOf axis="des" ptType="node"/>
              <dgm:constrLst/>
              <dgm:ruleLst/>
            </dgm:layoutNode>
            <dgm:layoutNode name="acctTx" styleLbl="alignAcc1">
              <dgm:varLst>
                <dgm:bulletEnabled val="1"/>
              </dgm:varLst>
              <dgm:alg type="tx">
                <dgm:param type="stBulletLvl" val="1"/>
                <dgm:param type="txAnchorVertCh" val="mid"/>
              </dgm:alg>
              <dgm:shape xmlns:r="http://schemas.openxmlformats.org/officeDocument/2006/relationships" type="nonIsoscelesTrapezoid" r:blip="" hideGeom="1">
                <dgm:adjLst/>
              </dgm:shape>
              <dgm:presOf axis="des" ptType="node"/>
              <dgm:constrLst>
                <dgm:constr type="secFontSz" val="65"/>
                <dgm:constr type="primFontSz" refType="secFontSz"/>
                <dgm:constr type="tMarg" refType="secFontSz" fact="0.3"/>
                <dgm:constr type="bMarg" refType="secFontSz" fact="0.3"/>
                <dgm:constr type="lMarg" refType="secFontSz" fact="0.3"/>
                <dgm:constr type="rMarg" refType="secFontSz" fact="0.3"/>
              </dgm:constrLst>
              <dgm:ruleLst>
                <dgm:rule type="secFontSz" val="5" fact="NaN" max="NaN"/>
              </dgm:ruleLst>
            </dgm:layoutNode>
          </dgm:if>
          <dgm:else name="Name14"/>
        </dgm:choose>
        <dgm:layoutNode name="level">
          <dgm:varLst>
            <dgm:chMax val="1"/>
            <dgm:bulletEnabled val="1"/>
          </dgm:varLst>
          <dgm:alg type="sp"/>
          <dgm:shape xmlns:r="http://schemas.openxmlformats.org/officeDocument/2006/relationships" type="trapezoid" r:blip="">
            <dgm:adjLst/>
          </dgm:shape>
          <dgm:presOf axis="self"/>
          <dgm:constrLst>
            <dgm:constr type="h" val="500"/>
            <dgm:constr type="w" val="1"/>
          </dgm:constrLst>
          <dgm:ruleLst/>
        </dgm:layoutNode>
        <dgm:layoutNode name="levelTx" styleLbl="revTx">
          <dgm:varLst>
            <dgm:chMax val="1"/>
            <dgm:bulletEnabled val="1"/>
          </dgm:varLst>
          <dgm:alg type="tx"/>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chart" Target="../charts/chart3.xml"/><Relationship Id="rId7" Type="http://schemas.openxmlformats.org/officeDocument/2006/relationships/diagramColors" Target="../diagrams/colors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5.png"/><Relationship Id="rId7"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chart" Target="../charts/chart9.xml"/><Relationship Id="rId5" Type="http://schemas.openxmlformats.org/officeDocument/2006/relationships/image" Target="../media/image10.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29</xdr:row>
      <xdr:rowOff>67235</xdr:rowOff>
    </xdr:from>
    <xdr:to>
      <xdr:col>5</xdr:col>
      <xdr:colOff>15688</xdr:colOff>
      <xdr:row>46</xdr:row>
      <xdr:rowOff>15875</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275168" y="4120652"/>
          <a:ext cx="7864474" cy="2737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a:solidFill>
                <a:sysClr val="windowText" lastClr="000000"/>
              </a:solidFill>
              <a:latin typeface="+mj-lt"/>
            </a:rPr>
            <a:t>Improving energy and water performance on a plant must be performed in stages.</a:t>
          </a:r>
          <a:r>
            <a:rPr lang="en-AU" sz="1200" baseline="0">
              <a:solidFill>
                <a:sysClr val="windowText" lastClr="000000"/>
              </a:solidFill>
              <a:latin typeface="+mj-lt"/>
            </a:rPr>
            <a:t> Once opportunities in the foundational stage are implemented then opportunities in the subsequent stage may be considered. These stages are shown in the pyramid on the right, starting with Housekeeping.</a:t>
          </a:r>
        </a:p>
        <a:p>
          <a:endParaRPr lang="en-AU" sz="1200" baseline="0">
            <a:solidFill>
              <a:sysClr val="windowText" lastClr="000000"/>
            </a:solidFill>
            <a:latin typeface="+mj-lt"/>
          </a:endParaRPr>
        </a:p>
        <a:p>
          <a:r>
            <a:rPr lang="en-AU" sz="1200" baseline="0">
              <a:solidFill>
                <a:sysClr val="windowText" lastClr="000000"/>
              </a:solidFill>
              <a:latin typeface="+mj-lt"/>
            </a:rPr>
            <a:t>To identify where your plant is on this pyramid, we benchmarked your performance against an industry-leading </a:t>
          </a:r>
        </a:p>
        <a:p>
          <a:r>
            <a:rPr lang="en-AU" sz="1200" baseline="0">
              <a:solidFill>
                <a:sysClr val="windowText" lastClr="000000"/>
              </a:solidFill>
              <a:latin typeface="+mj-lt"/>
            </a:rPr>
            <a:t>plant in: thermal energy, electrical energy and water use metrics.</a:t>
          </a:r>
        </a:p>
        <a:p>
          <a:endParaRPr lang="en-AU" sz="1200" baseline="0">
            <a:solidFill>
              <a:sysClr val="windowText" lastClr="000000"/>
            </a:solidFill>
            <a:latin typeface="+mj-lt"/>
          </a:endParaRPr>
        </a:p>
        <a:p>
          <a:r>
            <a:rPr lang="en-AU" sz="1200" baseline="0">
              <a:solidFill>
                <a:sysClr val="windowText" lastClr="000000"/>
              </a:solidFill>
              <a:latin typeface="+mj-lt"/>
            </a:rPr>
            <a:t>For each benchmarked metric you are placed on this pyramid. A description of this placement is </a:t>
          </a:r>
        </a:p>
        <a:p>
          <a:r>
            <a:rPr lang="en-AU" sz="1200" baseline="0">
              <a:solidFill>
                <a:sysClr val="windowText" lastClr="000000"/>
              </a:solidFill>
              <a:latin typeface="+mj-lt"/>
            </a:rPr>
            <a:t>provided and you are then presented with opportunities appropriate to this placement.</a:t>
          </a:r>
        </a:p>
        <a:p>
          <a:endParaRPr lang="en-AU" sz="1200" baseline="0">
            <a:solidFill>
              <a:sysClr val="windowText" lastClr="000000"/>
            </a:solidFill>
            <a:latin typeface="+mj-lt"/>
          </a:endParaRPr>
        </a:p>
        <a:p>
          <a:r>
            <a:rPr lang="en-AU" sz="1200" baseline="0">
              <a:solidFill>
                <a:sysClr val="windowText" lastClr="000000"/>
              </a:solidFill>
              <a:latin typeface="+mj-lt"/>
            </a:rPr>
            <a:t>Each opportunity has indicative savings, CAPEX cost, payback period range and a link to </a:t>
          </a:r>
        </a:p>
        <a:p>
          <a:r>
            <a:rPr lang="en-AU" sz="1200" baseline="0">
              <a:solidFill>
                <a:sysClr val="windowText" lastClr="000000"/>
              </a:solidFill>
              <a:latin typeface="+mj-lt"/>
            </a:rPr>
            <a:t>further information. Opportunities are sorted by largest savings first. Opportunities that</a:t>
          </a:r>
        </a:p>
        <a:p>
          <a:r>
            <a:rPr lang="en-AU" sz="1200" baseline="0">
              <a:solidFill>
                <a:sysClr val="windowText" lastClr="000000"/>
              </a:solidFill>
              <a:latin typeface="+mj-lt"/>
            </a:rPr>
            <a:t>exceed your payback period threshold are filtered out of the list.</a:t>
          </a:r>
        </a:p>
        <a:p>
          <a:endParaRPr lang="en-AU" sz="1200" baseline="0">
            <a:solidFill>
              <a:sysClr val="windowText" lastClr="000000"/>
            </a:solidFill>
            <a:latin typeface="+mj-lt"/>
          </a:endParaRPr>
        </a:p>
        <a:p>
          <a:r>
            <a:rPr lang="en-AU" sz="1200" baseline="0">
              <a:solidFill>
                <a:sysClr val="windowText" lastClr="000000"/>
              </a:solidFill>
              <a:latin typeface="+mj-lt"/>
            </a:rPr>
            <a:t>See the link below to start your energy management plan.</a:t>
          </a:r>
        </a:p>
      </xdr:txBody>
    </xdr:sp>
    <xdr:clientData/>
  </xdr:twoCellAnchor>
  <xdr:twoCellAnchor editAs="oneCell">
    <xdr:from>
      <xdr:col>1</xdr:col>
      <xdr:colOff>0</xdr:colOff>
      <xdr:row>51</xdr:row>
      <xdr:rowOff>104776</xdr:rowOff>
    </xdr:from>
    <xdr:to>
      <xdr:col>6</xdr:col>
      <xdr:colOff>388844</xdr:colOff>
      <xdr:row>53</xdr:row>
      <xdr:rowOff>80364</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0147" y="8632452"/>
          <a:ext cx="9319932" cy="7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aseline="0">
              <a:solidFill>
                <a:sysClr val="windowText" lastClr="000000"/>
              </a:solidFill>
            </a:rPr>
            <a:t>Your thermal energy performance has been compared to an industry-leading plant with similar facilities and adjusted based on the species mix and your current operating capacity. If you have rendering you were benchmarked against a site with continuous rendering. Performance benchmark figures shown are rounded to two significant figures.</a:t>
          </a:r>
        </a:p>
      </xdr:txBody>
    </xdr:sp>
    <xdr:clientData/>
  </xdr:twoCellAnchor>
  <xdr:twoCellAnchor editAs="oneCell">
    <xdr:from>
      <xdr:col>1</xdr:col>
      <xdr:colOff>0</xdr:colOff>
      <xdr:row>67</xdr:row>
      <xdr:rowOff>64435</xdr:rowOff>
    </xdr:from>
    <xdr:to>
      <xdr:col>6</xdr:col>
      <xdr:colOff>74717</xdr:colOff>
      <xdr:row>67</xdr:row>
      <xdr:rowOff>525236</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76225" y="14866285"/>
          <a:ext cx="9020373" cy="459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aseline="0">
              <a:solidFill>
                <a:sysClr val="windowText" lastClr="000000"/>
              </a:solidFill>
            </a:rPr>
            <a:t>Your electricity performance has been compared to an industry-leading plant with similar facilities and adjusted based on the species mix and your current operating capacity. Performance benchmark figures shown are rounded to two significant figures.</a:t>
          </a:r>
        </a:p>
      </xdr:txBody>
    </xdr:sp>
    <xdr:clientData/>
  </xdr:twoCellAnchor>
  <xdr:oneCellAnchor>
    <xdr:from>
      <xdr:col>1</xdr:col>
      <xdr:colOff>0</xdr:colOff>
      <xdr:row>83</xdr:row>
      <xdr:rowOff>7286</xdr:rowOff>
    </xdr:from>
    <xdr:ext cx="9552455" cy="45944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76225" y="20800361"/>
          <a:ext cx="9552455" cy="459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aseline="0">
              <a:solidFill>
                <a:sysClr val="windowText" lastClr="000000"/>
              </a:solidFill>
            </a:rPr>
            <a:t>Your water use performance has been compared to an industry-leading plant with similar facilities and adjusted based on the species mix and your current operating capacity. Performance benchmark figures shown are rounded to two significant figures.</a:t>
          </a:r>
        </a:p>
      </xdr:txBody>
    </xdr:sp>
    <xdr:clientData/>
  </xdr:oneCellAnchor>
  <xdr:twoCellAnchor editAs="oneCell">
    <xdr:from>
      <xdr:col>3</xdr:col>
      <xdr:colOff>628650</xdr:colOff>
      <xdr:row>68</xdr:row>
      <xdr:rowOff>31072</xdr:rowOff>
    </xdr:from>
    <xdr:to>
      <xdr:col>7</xdr:col>
      <xdr:colOff>373804</xdr:colOff>
      <xdr:row>71</xdr:row>
      <xdr:rowOff>56030</xdr:rowOff>
    </xdr:to>
    <xdr:grpSp>
      <xdr:nvGrpSpPr>
        <xdr:cNvPr id="43" name="Group 42">
          <a:extLst>
            <a:ext uri="{FF2B5EF4-FFF2-40B4-BE49-F238E27FC236}">
              <a16:creationId xmlns:a16="http://schemas.microsoft.com/office/drawing/2014/main" id="{00000000-0008-0000-0200-00002B000000}"/>
            </a:ext>
          </a:extLst>
        </xdr:cNvPr>
        <xdr:cNvGrpSpPr>
          <a:grpSpLocks noChangeAspect="1"/>
        </xdr:cNvGrpSpPr>
      </xdr:nvGrpSpPr>
      <xdr:grpSpPr>
        <a:xfrm>
          <a:off x="6826250" y="16344222"/>
          <a:ext cx="4342554" cy="2349058"/>
          <a:chOff x="6122821" y="12124140"/>
          <a:chExt cx="3200624" cy="2161980"/>
        </a:xfrm>
      </xdr:grpSpPr>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6701970" y="12124140"/>
          <a:ext cx="2175330" cy="2044484"/>
        </xdr:xfrm>
        <a:graphic>
          <a:graphicData uri="http://schemas.openxmlformats.org/drawingml/2006/chart">
            <c:chart xmlns:c="http://schemas.openxmlformats.org/drawingml/2006/chart" xmlns:r="http://schemas.openxmlformats.org/officeDocument/2006/relationships" r:id="rId1"/>
          </a:graphicData>
        </a:graphic>
      </xdr:graphicFrame>
      <xdr:sp macro="" textlink="Calculations!$L$207">
        <xdr:nvSpPr>
          <xdr:cNvPr id="19" name="TextBox 18">
            <a:extLst>
              <a:ext uri="{FF2B5EF4-FFF2-40B4-BE49-F238E27FC236}">
                <a16:creationId xmlns:a16="http://schemas.microsoft.com/office/drawing/2014/main" id="{00000000-0008-0000-0200-000013000000}"/>
              </a:ext>
            </a:extLst>
          </xdr:cNvPr>
          <xdr:cNvSpPr txBox="1"/>
        </xdr:nvSpPr>
        <xdr:spPr>
          <a:xfrm>
            <a:off x="6122821" y="13313123"/>
            <a:ext cx="1353546" cy="26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02B2205-AED7-4763-9314-4E616B6C8087}" type="TxLink">
              <a:rPr lang="en-US" sz="1000" b="0" i="0" u="none" strike="noStrike" baseline="0">
                <a:solidFill>
                  <a:srgbClr val="000000"/>
                </a:solidFill>
                <a:latin typeface="Arial"/>
                <a:cs typeface="Arial"/>
              </a:rPr>
              <a:pPr/>
              <a:t>310 kWh / tHSCW</a:t>
            </a:fld>
            <a:endParaRPr lang="en-AU" sz="1200" baseline="0">
              <a:solidFill>
                <a:sysClr val="windowText" lastClr="000000"/>
              </a:solidFill>
            </a:endParaRPr>
          </a:p>
        </xdr:txBody>
      </xdr:sp>
      <xdr:sp macro="" textlink="Calculations!$L$209">
        <xdr:nvSpPr>
          <xdr:cNvPr id="24" name="TextBox 23">
            <a:extLst>
              <a:ext uri="{FF2B5EF4-FFF2-40B4-BE49-F238E27FC236}">
                <a16:creationId xmlns:a16="http://schemas.microsoft.com/office/drawing/2014/main" id="{00000000-0008-0000-0200-000018000000}"/>
              </a:ext>
            </a:extLst>
          </xdr:cNvPr>
          <xdr:cNvSpPr txBox="1"/>
        </xdr:nvSpPr>
        <xdr:spPr>
          <a:xfrm>
            <a:off x="7959902" y="13313523"/>
            <a:ext cx="1363543" cy="253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E651E0C-83A4-4792-94E1-A1CDEB3FF479}" type="TxLink">
              <a:rPr lang="en-US" sz="1000" b="0" i="0" u="none" strike="noStrike" baseline="0">
                <a:solidFill>
                  <a:srgbClr val="000000"/>
                </a:solidFill>
                <a:latin typeface="Arial"/>
                <a:cs typeface="Arial"/>
              </a:rPr>
              <a:pPr/>
              <a:t>930 kWh / tHSCW</a:t>
            </a:fld>
            <a:endParaRPr lang="en-AU" sz="1200" baseline="0">
              <a:solidFill>
                <a:sysClr val="windowText" lastClr="000000"/>
              </a:solidFill>
            </a:endParaRPr>
          </a:p>
        </xdr:txBody>
      </xdr:sp>
      <xdr:sp macro="" textlink="Calculations!L208">
        <xdr:nvSpPr>
          <xdr:cNvPr id="27" name="TextBox 26">
            <a:extLst>
              <a:ext uri="{FF2B5EF4-FFF2-40B4-BE49-F238E27FC236}">
                <a16:creationId xmlns:a16="http://schemas.microsoft.com/office/drawing/2014/main" id="{00000000-0008-0000-0200-00001B000000}"/>
              </a:ext>
            </a:extLst>
          </xdr:cNvPr>
          <xdr:cNvSpPr txBox="1"/>
        </xdr:nvSpPr>
        <xdr:spPr>
          <a:xfrm>
            <a:off x="7040109" y="13659036"/>
            <a:ext cx="1356050" cy="271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A7A7AAF-8FB9-430F-81A9-05228786FFD8}" type="TxLink">
              <a:rPr lang="en-US" sz="1000" b="0" i="0" u="none" strike="noStrike" baseline="0">
                <a:solidFill>
                  <a:srgbClr val="000000"/>
                </a:solidFill>
                <a:latin typeface="Arial"/>
                <a:cs typeface="Arial"/>
              </a:rPr>
              <a:pPr/>
              <a:t>350 kWh / tHSCW</a:t>
            </a:fld>
            <a:endParaRPr lang="en-AU" sz="1200" baseline="0">
              <a:solidFill>
                <a:sysClr val="windowText" lastClr="000000"/>
              </a:solidFill>
            </a:endParaRPr>
          </a:p>
        </xdr:txBody>
      </xdr:sp>
      <xdr:sp macro="" textlink="Calculations!$G$198">
        <xdr:nvSpPr>
          <xdr:cNvPr id="28" name="TextBox 27">
            <a:extLst>
              <a:ext uri="{FF2B5EF4-FFF2-40B4-BE49-F238E27FC236}">
                <a16:creationId xmlns:a16="http://schemas.microsoft.com/office/drawing/2014/main" id="{00000000-0008-0000-0200-00001C000000}"/>
              </a:ext>
            </a:extLst>
          </xdr:cNvPr>
          <xdr:cNvSpPr txBox="1"/>
        </xdr:nvSpPr>
        <xdr:spPr>
          <a:xfrm>
            <a:off x="7137953" y="13970795"/>
            <a:ext cx="1138734" cy="3153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2757752-C6F6-4178-B30C-720D59CB8F19}" type="TxLink">
              <a:rPr lang="en-US" sz="1000" b="0" i="0" u="none" strike="noStrike" baseline="0">
                <a:solidFill>
                  <a:srgbClr val="000000"/>
                </a:solidFill>
                <a:latin typeface="Arial"/>
                <a:cs typeface="Arial"/>
              </a:rPr>
              <a:pPr algn="ctr"/>
              <a:t>Good</a:t>
            </a:fld>
            <a:endParaRPr lang="en-AU" sz="1200" baseline="0">
              <a:solidFill>
                <a:sysClr val="windowText" lastClr="000000"/>
              </a:solidFill>
            </a:endParaRPr>
          </a:p>
        </xdr:txBody>
      </xdr:sp>
    </xdr:grpSp>
    <xdr:clientData/>
  </xdr:twoCellAnchor>
  <xdr:twoCellAnchor editAs="oneCell">
    <xdr:from>
      <xdr:col>3</xdr:col>
      <xdr:colOff>684679</xdr:colOff>
      <xdr:row>52</xdr:row>
      <xdr:rowOff>238604</xdr:rowOff>
    </xdr:from>
    <xdr:to>
      <xdr:col>6</xdr:col>
      <xdr:colOff>795022</xdr:colOff>
      <xdr:row>56</xdr:row>
      <xdr:rowOff>9684</xdr:rowOff>
    </xdr:to>
    <xdr:grpSp>
      <xdr:nvGrpSpPr>
        <xdr:cNvPr id="42" name="Group 41">
          <a:extLst>
            <a:ext uri="{FF2B5EF4-FFF2-40B4-BE49-F238E27FC236}">
              <a16:creationId xmlns:a16="http://schemas.microsoft.com/office/drawing/2014/main" id="{00000000-0008-0000-0200-00002A000000}"/>
            </a:ext>
          </a:extLst>
        </xdr:cNvPr>
        <xdr:cNvGrpSpPr/>
      </xdr:nvGrpSpPr>
      <xdr:grpSpPr>
        <a:xfrm>
          <a:off x="6882279" y="8893654"/>
          <a:ext cx="3558393" cy="2920680"/>
          <a:chOff x="6238363" y="5261162"/>
          <a:chExt cx="2934212" cy="2235013"/>
        </a:xfrm>
      </xdr:grpSpPr>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6717927" y="5261162"/>
          <a:ext cx="2063393" cy="2091096"/>
        </xdr:xfrm>
        <a:graphic>
          <a:graphicData uri="http://schemas.openxmlformats.org/drawingml/2006/chart">
            <c:chart xmlns:c="http://schemas.openxmlformats.org/drawingml/2006/chart" xmlns:r="http://schemas.openxmlformats.org/officeDocument/2006/relationships" r:id="rId2"/>
          </a:graphicData>
        </a:graphic>
      </xdr:graphicFrame>
      <xdr:sp macro="" textlink="Calculations!$L$204">
        <xdr:nvSpPr>
          <xdr:cNvPr id="31" name="TextBox 30">
            <a:extLst>
              <a:ext uri="{FF2B5EF4-FFF2-40B4-BE49-F238E27FC236}">
                <a16:creationId xmlns:a16="http://schemas.microsoft.com/office/drawing/2014/main" id="{00000000-0008-0000-0200-00001F000000}"/>
              </a:ext>
            </a:extLst>
          </xdr:cNvPr>
          <xdr:cNvSpPr txBox="1"/>
        </xdr:nvSpPr>
        <xdr:spPr>
          <a:xfrm>
            <a:off x="6238363" y="6442873"/>
            <a:ext cx="1267337" cy="319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986A84D-AF90-45CC-96D3-2D3B1386D637}" type="TxLink">
              <a:rPr lang="en-US" sz="1000" b="0" i="0" u="none" strike="noStrike" baseline="0">
                <a:solidFill>
                  <a:srgbClr val="000000"/>
                </a:solidFill>
                <a:latin typeface="Arial"/>
                <a:cs typeface="Arial"/>
              </a:rPr>
              <a:pPr/>
              <a:t>2,900 MJ / tHSCW</a:t>
            </a:fld>
            <a:endParaRPr lang="en-AU" sz="1200" baseline="0">
              <a:solidFill>
                <a:sysClr val="windowText" lastClr="000000"/>
              </a:solidFill>
            </a:endParaRPr>
          </a:p>
        </xdr:txBody>
      </xdr:sp>
      <xdr:sp macro="" textlink="Calculations!G197">
        <xdr:nvSpPr>
          <xdr:cNvPr id="32" name="TextBox 31">
            <a:extLst>
              <a:ext uri="{FF2B5EF4-FFF2-40B4-BE49-F238E27FC236}">
                <a16:creationId xmlns:a16="http://schemas.microsoft.com/office/drawing/2014/main" id="{00000000-0008-0000-0200-000020000000}"/>
              </a:ext>
            </a:extLst>
          </xdr:cNvPr>
          <xdr:cNvSpPr txBox="1"/>
        </xdr:nvSpPr>
        <xdr:spPr>
          <a:xfrm>
            <a:off x="7157003" y="7141867"/>
            <a:ext cx="1085022" cy="35430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1979F0F-26C0-432B-B8FE-011337066FDF}" type="TxLink">
              <a:rPr lang="en-US" sz="1000" b="0" i="0" u="none" strike="noStrike" baseline="0">
                <a:solidFill>
                  <a:srgbClr val="000000"/>
                </a:solidFill>
                <a:latin typeface="Arial"/>
                <a:cs typeface="Arial"/>
              </a:rPr>
              <a:pPr algn="ctr"/>
              <a:t>Fair</a:t>
            </a:fld>
            <a:endParaRPr lang="en-AU" sz="1200" baseline="0">
              <a:solidFill>
                <a:sysClr val="windowText" lastClr="000000"/>
              </a:solidFill>
            </a:endParaRPr>
          </a:p>
        </xdr:txBody>
      </xdr:sp>
      <xdr:sp macro="" textlink="Calculations!$L$206">
        <xdr:nvSpPr>
          <xdr:cNvPr id="33" name="TextBox 32">
            <a:extLst>
              <a:ext uri="{FF2B5EF4-FFF2-40B4-BE49-F238E27FC236}">
                <a16:creationId xmlns:a16="http://schemas.microsoft.com/office/drawing/2014/main" id="{00000000-0008-0000-0200-000021000000}"/>
              </a:ext>
            </a:extLst>
          </xdr:cNvPr>
          <xdr:cNvSpPr txBox="1"/>
        </xdr:nvSpPr>
        <xdr:spPr>
          <a:xfrm>
            <a:off x="7905238" y="6442873"/>
            <a:ext cx="1267337" cy="319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68A0BE9-4A53-4C76-BBF4-2A9DFDC13EF2}" type="TxLink">
              <a:rPr lang="en-US" sz="1000" b="0" i="0" u="none" strike="noStrike" baseline="0">
                <a:solidFill>
                  <a:srgbClr val="000000"/>
                </a:solidFill>
                <a:latin typeface="Arial"/>
                <a:cs typeface="Arial"/>
              </a:rPr>
              <a:pPr/>
              <a:t>8,600 MJ / tHSCW</a:t>
            </a:fld>
            <a:endParaRPr lang="en-AU" sz="1200" baseline="0">
              <a:solidFill>
                <a:sysClr val="windowText" lastClr="000000"/>
              </a:solidFill>
            </a:endParaRPr>
          </a:p>
        </xdr:txBody>
      </xdr:sp>
      <xdr:sp macro="" textlink="Calculations!$L$205">
        <xdr:nvSpPr>
          <xdr:cNvPr id="34" name="TextBox 33">
            <a:extLst>
              <a:ext uri="{FF2B5EF4-FFF2-40B4-BE49-F238E27FC236}">
                <a16:creationId xmlns:a16="http://schemas.microsoft.com/office/drawing/2014/main" id="{00000000-0008-0000-0200-000022000000}"/>
              </a:ext>
            </a:extLst>
          </xdr:cNvPr>
          <xdr:cNvSpPr txBox="1"/>
        </xdr:nvSpPr>
        <xdr:spPr>
          <a:xfrm>
            <a:off x="7071800" y="6757198"/>
            <a:ext cx="1267337" cy="319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E891E33-64EE-4FE2-A8D2-1314294BB5A5}" type="TxLink">
              <a:rPr lang="en-US" sz="1000" b="0" i="0" u="none" strike="noStrike" baseline="0">
                <a:solidFill>
                  <a:srgbClr val="000000"/>
                </a:solidFill>
                <a:latin typeface="Arial"/>
                <a:cs typeface="Arial"/>
              </a:rPr>
              <a:pPr/>
              <a:t>4,875 MJ / tHSCW</a:t>
            </a:fld>
            <a:endParaRPr lang="en-AU" sz="1200" baseline="0">
              <a:solidFill>
                <a:sysClr val="windowText" lastClr="000000"/>
              </a:solidFill>
            </a:endParaRPr>
          </a:p>
        </xdr:txBody>
      </xdr:sp>
    </xdr:grpSp>
    <xdr:clientData/>
  </xdr:twoCellAnchor>
  <xdr:twoCellAnchor editAs="oneCell">
    <xdr:from>
      <xdr:col>3</xdr:col>
      <xdr:colOff>460562</xdr:colOff>
      <xdr:row>85</xdr:row>
      <xdr:rowOff>157687</xdr:rowOff>
    </xdr:from>
    <xdr:to>
      <xdr:col>6</xdr:col>
      <xdr:colOff>570905</xdr:colOff>
      <xdr:row>92</xdr:row>
      <xdr:rowOff>17055</xdr:rowOff>
    </xdr:to>
    <xdr:grpSp>
      <xdr:nvGrpSpPr>
        <xdr:cNvPr id="41" name="Group 40">
          <a:extLst>
            <a:ext uri="{FF2B5EF4-FFF2-40B4-BE49-F238E27FC236}">
              <a16:creationId xmlns:a16="http://schemas.microsoft.com/office/drawing/2014/main" id="{00000000-0008-0000-0200-000029000000}"/>
            </a:ext>
          </a:extLst>
        </xdr:cNvPr>
        <xdr:cNvGrpSpPr>
          <a:grpSpLocks/>
        </xdr:cNvGrpSpPr>
      </xdr:nvGrpSpPr>
      <xdr:grpSpPr>
        <a:xfrm>
          <a:off x="6658162" y="22185837"/>
          <a:ext cx="3558393" cy="2380318"/>
          <a:chOff x="6070226" y="22229672"/>
          <a:chExt cx="2930899" cy="2289561"/>
        </a:xfrm>
      </xdr:grpSpPr>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6531349" y="22229672"/>
          <a:ext cx="2076450" cy="2101704"/>
        </xdr:xfrm>
        <a:graphic>
          <a:graphicData uri="http://schemas.openxmlformats.org/drawingml/2006/chart">
            <c:chart xmlns:c="http://schemas.openxmlformats.org/drawingml/2006/chart" xmlns:r="http://schemas.openxmlformats.org/officeDocument/2006/relationships" r:id="rId3"/>
          </a:graphicData>
        </a:graphic>
      </xdr:graphicFrame>
      <xdr:sp macro="" textlink="Calculations!$L$210">
        <xdr:nvSpPr>
          <xdr:cNvPr id="23" name="TextBox 22">
            <a:extLst>
              <a:ext uri="{FF2B5EF4-FFF2-40B4-BE49-F238E27FC236}">
                <a16:creationId xmlns:a16="http://schemas.microsoft.com/office/drawing/2014/main" id="{00000000-0008-0000-0200-000017000000}"/>
              </a:ext>
            </a:extLst>
          </xdr:cNvPr>
          <xdr:cNvSpPr txBox="1"/>
        </xdr:nvSpPr>
        <xdr:spPr>
          <a:xfrm>
            <a:off x="6070226" y="23457836"/>
            <a:ext cx="1187824" cy="297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4D7975-66AB-4EE2-A49F-440C2C144442}" type="TxLink">
              <a:rPr lang="en-US" sz="1000" b="0" i="0" u="none" strike="noStrike" baseline="0">
                <a:solidFill>
                  <a:srgbClr val="000000"/>
                </a:solidFill>
                <a:latin typeface="Arial"/>
                <a:cs typeface="Arial"/>
              </a:rPr>
              <a:pPr/>
              <a:t>8.0 kL / tHSCW</a:t>
            </a:fld>
            <a:endParaRPr lang="en-AU" sz="1200" baseline="0">
              <a:solidFill>
                <a:sysClr val="windowText" lastClr="000000"/>
              </a:solidFill>
            </a:endParaRPr>
          </a:p>
        </xdr:txBody>
      </xdr:sp>
      <xdr:sp macro="" textlink="Calculations!$L$211">
        <xdr:nvSpPr>
          <xdr:cNvPr id="35" name="TextBox 34">
            <a:extLst>
              <a:ext uri="{FF2B5EF4-FFF2-40B4-BE49-F238E27FC236}">
                <a16:creationId xmlns:a16="http://schemas.microsoft.com/office/drawing/2014/main" id="{00000000-0008-0000-0200-000023000000}"/>
              </a:ext>
            </a:extLst>
          </xdr:cNvPr>
          <xdr:cNvSpPr txBox="1"/>
        </xdr:nvSpPr>
        <xdr:spPr>
          <a:xfrm>
            <a:off x="6924676" y="23715010"/>
            <a:ext cx="1200150" cy="354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BCF7D26-0DDC-4C92-9B9B-A060FB535E9C}" type="TxLink">
              <a:rPr lang="en-US" sz="1000" b="0" i="0" u="none" strike="noStrike" baseline="0">
                <a:solidFill>
                  <a:srgbClr val="000000"/>
                </a:solidFill>
                <a:latin typeface="Arial"/>
                <a:cs typeface="Arial"/>
              </a:rPr>
              <a:pPr/>
              <a:t>15.0 kL / tHSCW</a:t>
            </a:fld>
            <a:endParaRPr lang="en-AU" sz="1200" baseline="0">
              <a:solidFill>
                <a:sysClr val="windowText" lastClr="000000"/>
              </a:solidFill>
            </a:endParaRPr>
          </a:p>
        </xdr:txBody>
      </xdr:sp>
      <xdr:sp macro="" textlink="Calculations!$L$212">
        <xdr:nvSpPr>
          <xdr:cNvPr id="36" name="TextBox 35">
            <a:extLst>
              <a:ext uri="{FF2B5EF4-FFF2-40B4-BE49-F238E27FC236}">
                <a16:creationId xmlns:a16="http://schemas.microsoft.com/office/drawing/2014/main" id="{00000000-0008-0000-0200-000024000000}"/>
              </a:ext>
            </a:extLst>
          </xdr:cNvPr>
          <xdr:cNvSpPr txBox="1"/>
        </xdr:nvSpPr>
        <xdr:spPr>
          <a:xfrm>
            <a:off x="7775201" y="23457836"/>
            <a:ext cx="1225924" cy="326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62D0623-AC6F-40C6-9022-59BB378552BE}" type="TxLink">
              <a:rPr lang="en-US" sz="1000" b="0" i="0" u="none" strike="noStrike" baseline="0">
                <a:solidFill>
                  <a:srgbClr val="000000"/>
                </a:solidFill>
                <a:latin typeface="Arial"/>
                <a:cs typeface="Arial"/>
              </a:rPr>
              <a:pPr/>
              <a:t>26 kL / tHSCW</a:t>
            </a:fld>
            <a:endParaRPr lang="en-AU" sz="1200" baseline="0">
              <a:solidFill>
                <a:sysClr val="windowText" lastClr="000000"/>
              </a:solidFill>
            </a:endParaRPr>
          </a:p>
        </xdr:txBody>
      </xdr:sp>
      <xdr:sp macro="" textlink="Calculations!$G$199">
        <xdr:nvSpPr>
          <xdr:cNvPr id="38" name="TextBox 37">
            <a:extLst>
              <a:ext uri="{FF2B5EF4-FFF2-40B4-BE49-F238E27FC236}">
                <a16:creationId xmlns:a16="http://schemas.microsoft.com/office/drawing/2014/main" id="{00000000-0008-0000-0200-000026000000}"/>
              </a:ext>
            </a:extLst>
          </xdr:cNvPr>
          <xdr:cNvSpPr txBox="1"/>
        </xdr:nvSpPr>
        <xdr:spPr>
          <a:xfrm>
            <a:off x="6981825" y="24164925"/>
            <a:ext cx="1085022" cy="35430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C091DEF-8A79-412B-9638-1330144F7EF5}" type="TxLink">
              <a:rPr lang="en-US" sz="1000" b="0" i="0" u="none" strike="noStrike" baseline="0">
                <a:solidFill>
                  <a:srgbClr val="000000"/>
                </a:solidFill>
                <a:latin typeface="Arial"/>
                <a:cs typeface="Arial"/>
              </a:rPr>
              <a:pPr algn="ctr"/>
              <a:t>Fair</a:t>
            </a:fld>
            <a:endParaRPr lang="en-AU" sz="1200" baseline="0">
              <a:solidFill>
                <a:sysClr val="windowText" lastClr="000000"/>
              </a:solidFill>
            </a:endParaRPr>
          </a:p>
        </xdr:txBody>
      </xdr:sp>
    </xdr:grpSp>
    <xdr:clientData/>
  </xdr:twoCellAnchor>
  <xdr:twoCellAnchor editAs="oneCell">
    <xdr:from>
      <xdr:col>4</xdr:col>
      <xdr:colOff>590550</xdr:colOff>
      <xdr:row>28</xdr:row>
      <xdr:rowOff>95250</xdr:rowOff>
    </xdr:from>
    <xdr:to>
      <xdr:col>8</xdr:col>
      <xdr:colOff>20268</xdr:colOff>
      <xdr:row>46</xdr:row>
      <xdr:rowOff>5605</xdr:rowOff>
    </xdr:to>
    <xdr:graphicFrame macro="">
      <xdr:nvGraphicFramePr>
        <xdr:cNvPr id="26" name="Diagram 25">
          <a:extLst>
            <a:ext uri="{FF2B5EF4-FFF2-40B4-BE49-F238E27FC236}">
              <a16:creationId xmlns:a16="http://schemas.microsoft.com/office/drawing/2014/main" id="{00000000-0008-0000-0200-00001A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mc:AlternateContent xmlns:mc="http://schemas.openxmlformats.org/markup-compatibility/2006">
    <mc:Choice xmlns:a14="http://schemas.microsoft.com/office/drawing/2010/main" Requires="a14">
      <xdr:twoCellAnchor>
        <xdr:from>
          <xdr:col>7</xdr:col>
          <xdr:colOff>736600</xdr:colOff>
          <xdr:row>1</xdr:row>
          <xdr:rowOff>19050</xdr:rowOff>
        </xdr:from>
        <xdr:to>
          <xdr:col>9</xdr:col>
          <xdr:colOff>19050</xdr:colOff>
          <xdr:row>2</xdr:row>
          <xdr:rowOff>38100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000" b="0" i="0" u="none" strike="noStrike" baseline="0">
                  <a:solidFill>
                    <a:srgbClr val="5E5F61"/>
                  </a:solidFill>
                  <a:latin typeface="Arial"/>
                  <a:cs typeface="Arial"/>
                </a:rPr>
                <a:t>Export to PDF</a:t>
              </a:r>
            </a:p>
          </xdr:txBody>
        </xdr:sp>
        <xdr:clientData fPrintsWithSheet="0"/>
      </xdr:twoCellAnchor>
    </mc:Choice>
    <mc:Fallback/>
  </mc:AlternateContent>
  <xdr:twoCellAnchor editAs="oneCell">
    <xdr:from>
      <xdr:col>0</xdr:col>
      <xdr:colOff>276224</xdr:colOff>
      <xdr:row>6</xdr:row>
      <xdr:rowOff>104776</xdr:rowOff>
    </xdr:from>
    <xdr:to>
      <xdr:col>7</xdr:col>
      <xdr:colOff>590549</xdr:colOff>
      <xdr:row>14</xdr:row>
      <xdr:rowOff>9525</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276224" y="1562101"/>
          <a:ext cx="10639425" cy="54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aseline="0">
              <a:solidFill>
                <a:sysClr val="windowText" lastClr="000000"/>
              </a:solidFill>
            </a:rPr>
            <a:t>The benchmark results here are in tHSCW processed not total tonnes processed. As such, benchmarks have also been adjusted upwards for external rendering input, where relevant.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161925</xdr:colOff>
      <xdr:row>6</xdr:row>
      <xdr:rowOff>66675</xdr:rowOff>
    </xdr:from>
    <xdr:to>
      <xdr:col>5</xdr:col>
      <xdr:colOff>790575</xdr:colOff>
      <xdr:row>8</xdr:row>
      <xdr:rowOff>133349</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381125" y="714375"/>
          <a:ext cx="2752725" cy="390524"/>
        </a:xfrm>
        <a:prstGeom prst="rect">
          <a:avLst/>
        </a:prstGeom>
        <a:solidFill>
          <a:srgbClr val="FFFF00">
            <a:alpha val="3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t>comments or actions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245607</xdr:colOff>
      <xdr:row>1</xdr:row>
      <xdr:rowOff>42183</xdr:rowOff>
    </xdr:from>
    <xdr:to>
      <xdr:col>9</xdr:col>
      <xdr:colOff>17008</xdr:colOff>
      <xdr:row>3</xdr:row>
      <xdr:rowOff>99332</xdr:rowOff>
    </xdr:to>
    <xdr:sp macro="" textlink="">
      <xdr:nvSpPr>
        <xdr:cNvPr id="2" name="Flowchart: Terminator 1">
          <a:extLst>
            <a:ext uri="{FF2B5EF4-FFF2-40B4-BE49-F238E27FC236}">
              <a16:creationId xmlns:a16="http://schemas.microsoft.com/office/drawing/2014/main" id="{00000000-0008-0000-0300-000002000000}"/>
            </a:ext>
          </a:extLst>
        </xdr:cNvPr>
        <xdr:cNvSpPr/>
      </xdr:nvSpPr>
      <xdr:spPr>
        <a:xfrm>
          <a:off x="4512807" y="204108"/>
          <a:ext cx="990601" cy="380999"/>
        </a:xfrm>
        <a:prstGeom prst="flowChartTerminator">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Start</a:t>
          </a:r>
        </a:p>
      </xdr:txBody>
    </xdr:sp>
    <xdr:clientData/>
  </xdr:twoCellAnchor>
  <xdr:twoCellAnchor>
    <xdr:from>
      <xdr:col>6</xdr:col>
      <xdr:colOff>469445</xdr:colOff>
      <xdr:row>5</xdr:row>
      <xdr:rowOff>104208</xdr:rowOff>
    </xdr:from>
    <xdr:to>
      <xdr:col>9</xdr:col>
      <xdr:colOff>402770</xdr:colOff>
      <xdr:row>9</xdr:row>
      <xdr:rowOff>64747</xdr:rowOff>
    </xdr:to>
    <xdr:sp macro="" textlink="">
      <xdr:nvSpPr>
        <xdr:cNvPr id="4" name="Flowchart: Data 3">
          <a:extLst>
            <a:ext uri="{FF2B5EF4-FFF2-40B4-BE49-F238E27FC236}">
              <a16:creationId xmlns:a16="http://schemas.microsoft.com/office/drawing/2014/main" id="{00000000-0008-0000-0300-000004000000}"/>
            </a:ext>
          </a:extLst>
        </xdr:cNvPr>
        <xdr:cNvSpPr/>
      </xdr:nvSpPr>
      <xdr:spPr>
        <a:xfrm>
          <a:off x="4127045" y="913833"/>
          <a:ext cx="1762125" cy="608239"/>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Read user's input data</a:t>
          </a:r>
        </a:p>
      </xdr:txBody>
    </xdr:sp>
    <xdr:clientData/>
  </xdr:twoCellAnchor>
  <xdr:twoCellAnchor>
    <xdr:from>
      <xdr:col>6</xdr:col>
      <xdr:colOff>536120</xdr:colOff>
      <xdr:row>21</xdr:row>
      <xdr:rowOff>103073</xdr:rowOff>
    </xdr:from>
    <xdr:to>
      <xdr:col>9</xdr:col>
      <xdr:colOff>336095</xdr:colOff>
      <xdr:row>26</xdr:row>
      <xdr:rowOff>55449</xdr:rowOff>
    </xdr:to>
    <xdr:sp macro="" textlink="">
      <xdr:nvSpPr>
        <xdr:cNvPr id="5" name="Flowchart: Process 4">
          <a:extLst>
            <a:ext uri="{FF2B5EF4-FFF2-40B4-BE49-F238E27FC236}">
              <a16:creationId xmlns:a16="http://schemas.microsoft.com/office/drawing/2014/main" id="{00000000-0008-0000-0300-000005000000}"/>
            </a:ext>
          </a:extLst>
        </xdr:cNvPr>
        <xdr:cNvSpPr/>
      </xdr:nvSpPr>
      <xdr:spPr>
        <a:xfrm>
          <a:off x="4193720" y="3503498"/>
          <a:ext cx="1628775" cy="762001"/>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Calculate user's plant performance for each benchmark category</a:t>
          </a:r>
          <a:endParaRPr lang="en-AU" sz="1100">
            <a:solidFill>
              <a:sysClr val="windowText" lastClr="000000"/>
            </a:solidFill>
          </a:endParaRPr>
        </a:p>
      </xdr:txBody>
    </xdr:sp>
    <xdr:clientData/>
  </xdr:twoCellAnchor>
  <xdr:twoCellAnchor>
    <xdr:from>
      <xdr:col>6</xdr:col>
      <xdr:colOff>304800</xdr:colOff>
      <xdr:row>10</xdr:row>
      <xdr:rowOff>133350</xdr:rowOff>
    </xdr:from>
    <xdr:to>
      <xdr:col>9</xdr:col>
      <xdr:colOff>552450</xdr:colOff>
      <xdr:row>19</xdr:row>
      <xdr:rowOff>98198</xdr:rowOff>
    </xdr:to>
    <xdr:sp macro="" textlink="">
      <xdr:nvSpPr>
        <xdr:cNvPr id="6" name="Flowchart: Decision 5">
          <a:extLst>
            <a:ext uri="{FF2B5EF4-FFF2-40B4-BE49-F238E27FC236}">
              <a16:creationId xmlns:a16="http://schemas.microsoft.com/office/drawing/2014/main" id="{00000000-0008-0000-0300-000006000000}"/>
            </a:ext>
          </a:extLst>
        </xdr:cNvPr>
        <xdr:cNvSpPr/>
      </xdr:nvSpPr>
      <xdr:spPr>
        <a:xfrm>
          <a:off x="3962400" y="1752600"/>
          <a:ext cx="2076450" cy="1422173"/>
        </a:xfrm>
        <a:prstGeom prst="flowChartDecision">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Error or omissions in user's input?</a:t>
          </a:r>
        </a:p>
      </xdr:txBody>
    </xdr:sp>
    <xdr:clientData/>
  </xdr:twoCellAnchor>
  <xdr:twoCellAnchor>
    <xdr:from>
      <xdr:col>5</xdr:col>
      <xdr:colOff>427263</xdr:colOff>
      <xdr:row>28</xdr:row>
      <xdr:rowOff>50799</xdr:rowOff>
    </xdr:from>
    <xdr:to>
      <xdr:col>10</xdr:col>
      <xdr:colOff>457200</xdr:colOff>
      <xdr:row>32</xdr:row>
      <xdr:rowOff>66675</xdr:rowOff>
    </xdr:to>
    <xdr:sp macro="" textlink="">
      <xdr:nvSpPr>
        <xdr:cNvPr id="7" name="Flowchart: Data 6">
          <a:extLst>
            <a:ext uri="{FF2B5EF4-FFF2-40B4-BE49-F238E27FC236}">
              <a16:creationId xmlns:a16="http://schemas.microsoft.com/office/drawing/2014/main" id="{00000000-0008-0000-0300-000007000000}"/>
            </a:ext>
          </a:extLst>
        </xdr:cNvPr>
        <xdr:cNvSpPr/>
      </xdr:nvSpPr>
      <xdr:spPr>
        <a:xfrm>
          <a:off x="3475263" y="4584699"/>
          <a:ext cx="3077937" cy="663576"/>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Import </a:t>
          </a:r>
          <a:r>
            <a:rPr lang="en-AU" sz="1100" i="1">
              <a:solidFill>
                <a:sysClr val="windowText" lastClr="000000"/>
              </a:solidFill>
            </a:rPr>
            <a:t>benchmark plant </a:t>
          </a:r>
          <a:r>
            <a:rPr lang="en-AU" sz="1100">
              <a:solidFill>
                <a:sysClr val="windowText" lastClr="000000"/>
              </a:solidFill>
            </a:rPr>
            <a:t>data for each benchmark category</a:t>
          </a:r>
        </a:p>
      </xdr:txBody>
    </xdr:sp>
    <xdr:clientData/>
  </xdr:twoCellAnchor>
  <xdr:twoCellAnchor>
    <xdr:from>
      <xdr:col>8</xdr:col>
      <xdr:colOff>137433</xdr:colOff>
      <xdr:row>32</xdr:row>
      <xdr:rowOff>66674</xdr:rowOff>
    </xdr:from>
    <xdr:to>
      <xdr:col>8</xdr:col>
      <xdr:colOff>148999</xdr:colOff>
      <xdr:row>34</xdr:row>
      <xdr:rowOff>131647</xdr:rowOff>
    </xdr:to>
    <xdr:cxnSp macro="">
      <xdr:nvCxnSpPr>
        <xdr:cNvPr id="22" name="Elbow Connector 21">
          <a:extLst>
            <a:ext uri="{FF2B5EF4-FFF2-40B4-BE49-F238E27FC236}">
              <a16:creationId xmlns:a16="http://schemas.microsoft.com/office/drawing/2014/main" id="{00000000-0008-0000-0300-000016000000}"/>
            </a:ext>
          </a:extLst>
        </xdr:cNvPr>
        <xdr:cNvCxnSpPr>
          <a:stCxn id="7" idx="4"/>
          <a:endCxn id="62" idx="0"/>
        </xdr:cNvCxnSpPr>
      </xdr:nvCxnSpPr>
      <xdr:spPr>
        <a:xfrm rot="16200000" flipH="1">
          <a:off x="4825604" y="5436903"/>
          <a:ext cx="388823" cy="11566"/>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8</xdr:col>
      <xdr:colOff>131308</xdr:colOff>
      <xdr:row>26</xdr:row>
      <xdr:rowOff>55449</xdr:rowOff>
    </xdr:from>
    <xdr:to>
      <xdr:col>8</xdr:col>
      <xdr:colOff>137432</xdr:colOff>
      <xdr:row>28</xdr:row>
      <xdr:rowOff>50799</xdr:rowOff>
    </xdr:to>
    <xdr:cxnSp macro="">
      <xdr:nvCxnSpPr>
        <xdr:cNvPr id="23" name="Elbow Connector 22">
          <a:extLst>
            <a:ext uri="{FF2B5EF4-FFF2-40B4-BE49-F238E27FC236}">
              <a16:creationId xmlns:a16="http://schemas.microsoft.com/office/drawing/2014/main" id="{00000000-0008-0000-0300-000017000000}"/>
            </a:ext>
          </a:extLst>
        </xdr:cNvPr>
        <xdr:cNvCxnSpPr>
          <a:stCxn id="5" idx="2"/>
          <a:endCxn id="7" idx="1"/>
        </xdr:cNvCxnSpPr>
      </xdr:nvCxnSpPr>
      <xdr:spPr>
        <a:xfrm rot="16200000" flipH="1">
          <a:off x="4851570" y="4422037"/>
          <a:ext cx="319200" cy="6124"/>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8</xdr:col>
      <xdr:colOff>123825</xdr:colOff>
      <xdr:row>19</xdr:row>
      <xdr:rowOff>98197</xdr:rowOff>
    </xdr:from>
    <xdr:to>
      <xdr:col>8</xdr:col>
      <xdr:colOff>131308</xdr:colOff>
      <xdr:row>21</xdr:row>
      <xdr:rowOff>103072</xdr:rowOff>
    </xdr:to>
    <xdr:cxnSp macro="">
      <xdr:nvCxnSpPr>
        <xdr:cNvPr id="24" name="Elbow Connector 23">
          <a:extLst>
            <a:ext uri="{FF2B5EF4-FFF2-40B4-BE49-F238E27FC236}">
              <a16:creationId xmlns:a16="http://schemas.microsoft.com/office/drawing/2014/main" id="{00000000-0008-0000-0300-000018000000}"/>
            </a:ext>
          </a:extLst>
        </xdr:cNvPr>
        <xdr:cNvCxnSpPr>
          <a:stCxn id="6" idx="2"/>
          <a:endCxn id="5" idx="0"/>
        </xdr:cNvCxnSpPr>
      </xdr:nvCxnSpPr>
      <xdr:spPr>
        <a:xfrm rot="16200000" flipH="1">
          <a:off x="4840004" y="3335393"/>
          <a:ext cx="328725" cy="7483"/>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9</xdr:col>
      <xdr:colOff>552450</xdr:colOff>
      <xdr:row>15</xdr:row>
      <xdr:rowOff>34812</xdr:rowOff>
    </xdr:from>
    <xdr:to>
      <xdr:col>11</xdr:col>
      <xdr:colOff>102455</xdr:colOff>
      <xdr:row>15</xdr:row>
      <xdr:rowOff>36173</xdr:rowOff>
    </xdr:to>
    <xdr:cxnSp macro="">
      <xdr:nvCxnSpPr>
        <xdr:cNvPr id="25" name="Elbow Connector 24">
          <a:extLst>
            <a:ext uri="{FF2B5EF4-FFF2-40B4-BE49-F238E27FC236}">
              <a16:creationId xmlns:a16="http://schemas.microsoft.com/office/drawing/2014/main" id="{00000000-0008-0000-0300-000019000000}"/>
            </a:ext>
          </a:extLst>
        </xdr:cNvPr>
        <xdr:cNvCxnSpPr>
          <a:stCxn id="6" idx="3"/>
          <a:endCxn id="26" idx="1"/>
        </xdr:cNvCxnSpPr>
      </xdr:nvCxnSpPr>
      <xdr:spPr>
        <a:xfrm>
          <a:off x="6038850" y="2463687"/>
          <a:ext cx="769205" cy="1361"/>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11</xdr:col>
      <xdr:colOff>102455</xdr:colOff>
      <xdr:row>13</xdr:row>
      <xdr:rowOff>3515</xdr:rowOff>
    </xdr:from>
    <xdr:to>
      <xdr:col>13</xdr:col>
      <xdr:colOff>552450</xdr:colOff>
      <xdr:row>17</xdr:row>
      <xdr:rowOff>68830</xdr:rowOff>
    </xdr:to>
    <xdr:sp macro="" textlink="">
      <xdr:nvSpPr>
        <xdr:cNvPr id="26" name="Flowchart: Process 25">
          <a:extLst>
            <a:ext uri="{FF2B5EF4-FFF2-40B4-BE49-F238E27FC236}">
              <a16:creationId xmlns:a16="http://schemas.microsoft.com/office/drawing/2014/main" id="{00000000-0008-0000-0300-00001A000000}"/>
            </a:ext>
          </a:extLst>
        </xdr:cNvPr>
        <xdr:cNvSpPr/>
      </xdr:nvSpPr>
      <xdr:spPr>
        <a:xfrm>
          <a:off x="6808055" y="2108540"/>
          <a:ext cx="1669195" cy="713015"/>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Display error and prompt user to correct or provide input</a:t>
          </a:r>
          <a:endParaRPr lang="en-AU" sz="1100">
            <a:solidFill>
              <a:sysClr val="windowText" lastClr="000000"/>
            </a:solidFill>
          </a:endParaRPr>
        </a:p>
      </xdr:txBody>
    </xdr:sp>
    <xdr:clientData/>
  </xdr:twoCellAnchor>
  <xdr:twoCellAnchor>
    <xdr:from>
      <xdr:col>8</xdr:col>
      <xdr:colOff>123825</xdr:colOff>
      <xdr:row>9</xdr:row>
      <xdr:rowOff>64748</xdr:rowOff>
    </xdr:from>
    <xdr:to>
      <xdr:col>8</xdr:col>
      <xdr:colOff>131308</xdr:colOff>
      <xdr:row>10</xdr:row>
      <xdr:rowOff>133351</xdr:rowOff>
    </xdr:to>
    <xdr:cxnSp macro="">
      <xdr:nvCxnSpPr>
        <xdr:cNvPr id="27" name="Elbow Connector 26">
          <a:extLst>
            <a:ext uri="{FF2B5EF4-FFF2-40B4-BE49-F238E27FC236}">
              <a16:creationId xmlns:a16="http://schemas.microsoft.com/office/drawing/2014/main" id="{00000000-0008-0000-0300-00001B000000}"/>
            </a:ext>
          </a:extLst>
        </xdr:cNvPr>
        <xdr:cNvCxnSpPr>
          <a:stCxn id="4" idx="4"/>
          <a:endCxn id="6" idx="0"/>
        </xdr:cNvCxnSpPr>
      </xdr:nvCxnSpPr>
      <xdr:spPr>
        <a:xfrm rot="5400000">
          <a:off x="4889103" y="1633595"/>
          <a:ext cx="230528" cy="7483"/>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8</xdr:col>
      <xdr:colOff>124958</xdr:colOff>
      <xdr:row>3</xdr:row>
      <xdr:rowOff>105682</xdr:rowOff>
    </xdr:from>
    <xdr:to>
      <xdr:col>8</xdr:col>
      <xdr:colOff>137658</xdr:colOff>
      <xdr:row>5</xdr:row>
      <xdr:rowOff>110558</xdr:rowOff>
    </xdr:to>
    <xdr:cxnSp macro="">
      <xdr:nvCxnSpPr>
        <xdr:cNvPr id="28" name="Elbow Connector 27">
          <a:extLst>
            <a:ext uri="{FF2B5EF4-FFF2-40B4-BE49-F238E27FC236}">
              <a16:creationId xmlns:a16="http://schemas.microsoft.com/office/drawing/2014/main" id="{00000000-0008-0000-0300-00001C000000}"/>
            </a:ext>
          </a:extLst>
        </xdr:cNvPr>
        <xdr:cNvCxnSpPr>
          <a:stCxn id="2" idx="2"/>
          <a:endCxn id="4" idx="1"/>
        </xdr:cNvCxnSpPr>
      </xdr:nvCxnSpPr>
      <xdr:spPr>
        <a:xfrm rot="5400000">
          <a:off x="4843745" y="749470"/>
          <a:ext cx="328726" cy="1270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oneCellAnchor>
    <xdr:from>
      <xdr:col>9</xdr:col>
      <xdr:colOff>602743</xdr:colOff>
      <xdr:row>13</xdr:row>
      <xdr:rowOff>86557</xdr:rowOff>
    </xdr:from>
    <xdr:ext cx="427746" cy="254557"/>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6089143" y="2191582"/>
          <a:ext cx="42774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ysClr val="windowText" lastClr="000000"/>
              </a:solidFill>
            </a:rPr>
            <a:t>Yes</a:t>
          </a:r>
        </a:p>
      </xdr:txBody>
    </xdr:sp>
    <xdr:clientData/>
  </xdr:oneCellAnchor>
  <xdr:oneCellAnchor>
    <xdr:from>
      <xdr:col>8</xdr:col>
      <xdr:colOff>250278</xdr:colOff>
      <xdr:row>19</xdr:row>
      <xdr:rowOff>98535</xdr:rowOff>
    </xdr:from>
    <xdr:ext cx="365036" cy="254557"/>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5127078" y="3175110"/>
          <a:ext cx="36503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ysClr val="windowText" lastClr="000000"/>
              </a:solidFill>
            </a:rPr>
            <a:t>No</a:t>
          </a:r>
        </a:p>
      </xdr:txBody>
    </xdr:sp>
    <xdr:clientData/>
  </xdr:oneCellAnchor>
  <xdr:twoCellAnchor>
    <xdr:from>
      <xdr:col>8</xdr:col>
      <xdr:colOff>307521</xdr:colOff>
      <xdr:row>5</xdr:row>
      <xdr:rowOff>104208</xdr:rowOff>
    </xdr:from>
    <xdr:to>
      <xdr:col>12</xdr:col>
      <xdr:colOff>327454</xdr:colOff>
      <xdr:row>13</xdr:row>
      <xdr:rowOff>3515</xdr:rowOff>
    </xdr:to>
    <xdr:cxnSp macro="">
      <xdr:nvCxnSpPr>
        <xdr:cNvPr id="45" name="Elbow Connector 44">
          <a:extLst>
            <a:ext uri="{FF2B5EF4-FFF2-40B4-BE49-F238E27FC236}">
              <a16:creationId xmlns:a16="http://schemas.microsoft.com/office/drawing/2014/main" id="{00000000-0008-0000-0300-00002D000000}"/>
            </a:ext>
          </a:extLst>
        </xdr:cNvPr>
        <xdr:cNvCxnSpPr>
          <a:stCxn id="26" idx="0"/>
          <a:endCxn id="4" idx="0"/>
        </xdr:cNvCxnSpPr>
      </xdr:nvCxnSpPr>
      <xdr:spPr>
        <a:xfrm rot="16200000" flipV="1">
          <a:off x="5816134" y="282020"/>
          <a:ext cx="1194707" cy="2458333"/>
        </a:xfrm>
        <a:prstGeom prst="bentConnector3">
          <a:avLst>
            <a:gd name="adj1" fmla="val 119134"/>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8</xdr:col>
      <xdr:colOff>219076</xdr:colOff>
      <xdr:row>75</xdr:row>
      <xdr:rowOff>110582</xdr:rowOff>
    </xdr:from>
    <xdr:to>
      <xdr:col>8</xdr:col>
      <xdr:colOff>233364</xdr:colOff>
      <xdr:row>77</xdr:row>
      <xdr:rowOff>144923</xdr:rowOff>
    </xdr:to>
    <xdr:cxnSp macro="">
      <xdr:nvCxnSpPr>
        <xdr:cNvPr id="48" name="Elbow Connector 47">
          <a:extLst>
            <a:ext uri="{FF2B5EF4-FFF2-40B4-BE49-F238E27FC236}">
              <a16:creationId xmlns:a16="http://schemas.microsoft.com/office/drawing/2014/main" id="{00000000-0008-0000-0300-000030000000}"/>
            </a:ext>
          </a:extLst>
        </xdr:cNvPr>
        <xdr:cNvCxnSpPr>
          <a:stCxn id="165" idx="4"/>
          <a:endCxn id="49" idx="0"/>
        </xdr:cNvCxnSpPr>
      </xdr:nvCxnSpPr>
      <xdr:spPr>
        <a:xfrm rot="5400000">
          <a:off x="4923924" y="11293434"/>
          <a:ext cx="358191" cy="14288"/>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5</xdr:col>
      <xdr:colOff>180975</xdr:colOff>
      <xdr:row>77</xdr:row>
      <xdr:rowOff>144924</xdr:rowOff>
    </xdr:from>
    <xdr:to>
      <xdr:col>11</xdr:col>
      <xdr:colOff>257175</xdr:colOff>
      <xdr:row>84</xdr:row>
      <xdr:rowOff>85725</xdr:rowOff>
    </xdr:to>
    <xdr:sp macro="" textlink="">
      <xdr:nvSpPr>
        <xdr:cNvPr id="49" name="Flowchart: Process 48">
          <a:extLst>
            <a:ext uri="{FF2B5EF4-FFF2-40B4-BE49-F238E27FC236}">
              <a16:creationId xmlns:a16="http://schemas.microsoft.com/office/drawing/2014/main" id="{00000000-0008-0000-0300-000031000000}"/>
            </a:ext>
          </a:extLst>
        </xdr:cNvPr>
        <xdr:cNvSpPr/>
      </xdr:nvSpPr>
      <xdr:spPr>
        <a:xfrm>
          <a:off x="3228975" y="11479674"/>
          <a:ext cx="3733800" cy="1074276"/>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Quantify each improvement opportunity, first using default cost figures. Then, if user's cost data is available, modify savings and payback periods with these figures. Screen out opportunities that exceed the user's maximum payback threshold.</a:t>
          </a:r>
          <a:endParaRPr lang="en-AU" sz="1100">
            <a:solidFill>
              <a:sysClr val="windowText" lastClr="000000"/>
            </a:solidFill>
          </a:endParaRPr>
        </a:p>
      </xdr:txBody>
    </xdr:sp>
    <xdr:clientData/>
  </xdr:twoCellAnchor>
  <xdr:twoCellAnchor>
    <xdr:from>
      <xdr:col>8</xdr:col>
      <xdr:colOff>214313</xdr:colOff>
      <xdr:row>60</xdr:row>
      <xdr:rowOff>129632</xdr:rowOff>
    </xdr:from>
    <xdr:to>
      <xdr:col>8</xdr:col>
      <xdr:colOff>228600</xdr:colOff>
      <xdr:row>62</xdr:row>
      <xdr:rowOff>104775</xdr:rowOff>
    </xdr:to>
    <xdr:cxnSp macro="">
      <xdr:nvCxnSpPr>
        <xdr:cNvPr id="55" name="Elbow Connector 54">
          <a:extLst>
            <a:ext uri="{FF2B5EF4-FFF2-40B4-BE49-F238E27FC236}">
              <a16:creationId xmlns:a16="http://schemas.microsoft.com/office/drawing/2014/main" id="{00000000-0008-0000-0300-000037000000}"/>
            </a:ext>
          </a:extLst>
        </xdr:cNvPr>
        <xdr:cNvCxnSpPr>
          <a:stCxn id="129" idx="4"/>
          <a:endCxn id="126" idx="0"/>
        </xdr:cNvCxnSpPr>
      </xdr:nvCxnSpPr>
      <xdr:spPr>
        <a:xfrm rot="16200000" flipH="1">
          <a:off x="4948760" y="8854010"/>
          <a:ext cx="298993" cy="14287"/>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6</xdr:col>
      <xdr:colOff>459920</xdr:colOff>
      <xdr:row>34</xdr:row>
      <xdr:rowOff>131648</xdr:rowOff>
    </xdr:from>
    <xdr:to>
      <xdr:col>9</xdr:col>
      <xdr:colOff>447675</xdr:colOff>
      <xdr:row>40</xdr:row>
      <xdr:rowOff>84024</xdr:rowOff>
    </xdr:to>
    <xdr:sp macro="" textlink="">
      <xdr:nvSpPr>
        <xdr:cNvPr id="62" name="Flowchart: Process 61">
          <a:extLst>
            <a:ext uri="{FF2B5EF4-FFF2-40B4-BE49-F238E27FC236}">
              <a16:creationId xmlns:a16="http://schemas.microsoft.com/office/drawing/2014/main" id="{00000000-0008-0000-0300-00003E000000}"/>
            </a:ext>
          </a:extLst>
        </xdr:cNvPr>
        <xdr:cNvSpPr/>
      </xdr:nvSpPr>
      <xdr:spPr>
        <a:xfrm>
          <a:off x="4117520" y="5637098"/>
          <a:ext cx="1816555" cy="762001"/>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To compare against user's plant, modify </a:t>
          </a:r>
          <a:r>
            <a:rPr lang="en-AU" sz="1100" i="0" baseline="0">
              <a:solidFill>
                <a:sysClr val="windowText" lastClr="000000"/>
              </a:solidFill>
            </a:rPr>
            <a:t>benchmark plant </a:t>
          </a:r>
          <a:r>
            <a:rPr lang="en-AU" sz="1100" baseline="0">
              <a:solidFill>
                <a:sysClr val="windowText" lastClr="000000"/>
              </a:solidFill>
            </a:rPr>
            <a:t>based on user's plant facilities and facility througputs.</a:t>
          </a:r>
          <a:endParaRPr lang="en-AU" sz="1100">
            <a:solidFill>
              <a:sysClr val="windowText" lastClr="000000"/>
            </a:solidFill>
          </a:endParaRPr>
        </a:p>
      </xdr:txBody>
    </xdr:sp>
    <xdr:clientData/>
  </xdr:twoCellAnchor>
  <xdr:twoCellAnchor>
    <xdr:from>
      <xdr:col>8</xdr:col>
      <xdr:colOff>148998</xdr:colOff>
      <xdr:row>40</xdr:row>
      <xdr:rowOff>84024</xdr:rowOff>
    </xdr:from>
    <xdr:to>
      <xdr:col>8</xdr:col>
      <xdr:colOff>153760</xdr:colOff>
      <xdr:row>42</xdr:row>
      <xdr:rowOff>103073</xdr:rowOff>
    </xdr:to>
    <xdr:cxnSp macro="">
      <xdr:nvCxnSpPr>
        <xdr:cNvPr id="69" name="Elbow Connector 68">
          <a:extLst>
            <a:ext uri="{FF2B5EF4-FFF2-40B4-BE49-F238E27FC236}">
              <a16:creationId xmlns:a16="http://schemas.microsoft.com/office/drawing/2014/main" id="{00000000-0008-0000-0300-000045000000}"/>
            </a:ext>
          </a:extLst>
        </xdr:cNvPr>
        <xdr:cNvCxnSpPr>
          <a:stCxn id="62" idx="2"/>
          <a:endCxn id="39" idx="0"/>
        </xdr:cNvCxnSpPr>
      </xdr:nvCxnSpPr>
      <xdr:spPr>
        <a:xfrm rot="16200000" flipH="1">
          <a:off x="4775767" y="6649130"/>
          <a:ext cx="504824" cy="4762"/>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5</xdr:col>
      <xdr:colOff>207351</xdr:colOff>
      <xdr:row>49</xdr:row>
      <xdr:rowOff>98201</xdr:rowOff>
    </xdr:from>
    <xdr:to>
      <xdr:col>11</xdr:col>
      <xdr:colOff>152400</xdr:colOff>
      <xdr:row>54</xdr:row>
      <xdr:rowOff>133350</xdr:rowOff>
    </xdr:to>
    <xdr:sp macro="" textlink="">
      <xdr:nvSpPr>
        <xdr:cNvPr id="91" name="Flowchart: Process 90">
          <a:extLst>
            <a:ext uri="{FF2B5EF4-FFF2-40B4-BE49-F238E27FC236}">
              <a16:creationId xmlns:a16="http://schemas.microsoft.com/office/drawing/2014/main" id="{00000000-0008-0000-0300-00005B000000}"/>
            </a:ext>
          </a:extLst>
        </xdr:cNvPr>
        <xdr:cNvSpPr/>
      </xdr:nvSpPr>
      <xdr:spPr>
        <a:xfrm>
          <a:off x="3255351" y="6899051"/>
          <a:ext cx="3602649" cy="844774"/>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effectLst/>
              <a:latin typeface="+mn-lt"/>
              <a:ea typeface="+mn-ea"/>
              <a:cs typeface="+mn-cs"/>
            </a:rPr>
            <a:t>For each benchmark category (electrical, thermal, water): compare user's plant performance against modified benchmark plant performance and rank each category as poor, fair or good performance.</a:t>
          </a:r>
          <a:endParaRPr lang="en-AU">
            <a:solidFill>
              <a:sysClr val="windowText" lastClr="000000"/>
            </a:solidFill>
            <a:effectLst/>
          </a:endParaRPr>
        </a:p>
      </xdr:txBody>
    </xdr:sp>
    <xdr:clientData/>
  </xdr:twoCellAnchor>
  <xdr:twoCellAnchor>
    <xdr:from>
      <xdr:col>8</xdr:col>
      <xdr:colOff>179875</xdr:colOff>
      <xdr:row>54</xdr:row>
      <xdr:rowOff>133350</xdr:rowOff>
    </xdr:from>
    <xdr:to>
      <xdr:col>8</xdr:col>
      <xdr:colOff>214312</xdr:colOff>
      <xdr:row>57</xdr:row>
      <xdr:rowOff>7327</xdr:rowOff>
    </xdr:to>
    <xdr:cxnSp macro="">
      <xdr:nvCxnSpPr>
        <xdr:cNvPr id="118" name="Elbow Connector 117">
          <a:extLst>
            <a:ext uri="{FF2B5EF4-FFF2-40B4-BE49-F238E27FC236}">
              <a16:creationId xmlns:a16="http://schemas.microsoft.com/office/drawing/2014/main" id="{00000000-0008-0000-0300-000076000000}"/>
            </a:ext>
          </a:extLst>
        </xdr:cNvPr>
        <xdr:cNvCxnSpPr>
          <a:stCxn id="91" idx="2"/>
          <a:endCxn id="129" idx="1"/>
        </xdr:cNvCxnSpPr>
      </xdr:nvCxnSpPr>
      <xdr:spPr>
        <a:xfrm rot="16200000" flipH="1">
          <a:off x="4894018" y="7906482"/>
          <a:ext cx="359752" cy="34437"/>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4</xdr:col>
      <xdr:colOff>542925</xdr:colOff>
      <xdr:row>62</xdr:row>
      <xdr:rowOff>104776</xdr:rowOff>
    </xdr:from>
    <xdr:to>
      <xdr:col>11</xdr:col>
      <xdr:colOff>523875</xdr:colOff>
      <xdr:row>69</xdr:row>
      <xdr:rowOff>95250</xdr:rowOff>
    </xdr:to>
    <xdr:sp macro="" textlink="">
      <xdr:nvSpPr>
        <xdr:cNvPr id="126" name="Flowchart: Process 125">
          <a:extLst>
            <a:ext uri="{FF2B5EF4-FFF2-40B4-BE49-F238E27FC236}">
              <a16:creationId xmlns:a16="http://schemas.microsoft.com/office/drawing/2014/main" id="{00000000-0008-0000-0300-00007E000000}"/>
            </a:ext>
          </a:extLst>
        </xdr:cNvPr>
        <xdr:cNvSpPr/>
      </xdr:nvSpPr>
      <xdr:spPr>
        <a:xfrm>
          <a:off x="2981325" y="9010651"/>
          <a:ext cx="4248150" cy="1123949"/>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For each benchmark category, place the plant on the performance pyramid. Performance in each benchmark category determines the progression of the plant up the performance pyramid for that category. T</a:t>
          </a:r>
          <a:r>
            <a:rPr lang="en-AU" sz="1100" baseline="0">
              <a:solidFill>
                <a:sysClr val="windowText" lastClr="000000"/>
              </a:solidFill>
              <a:effectLst/>
              <a:latin typeface="+mn-lt"/>
              <a:ea typeface="+mn-ea"/>
              <a:cs typeface="+mn-cs"/>
            </a:rPr>
            <a:t>hat progression </a:t>
          </a:r>
          <a:r>
            <a:rPr lang="en-AU" sz="1100" baseline="0">
              <a:solidFill>
                <a:sysClr val="windowText" lastClr="000000"/>
              </a:solidFill>
            </a:rPr>
            <a:t>determines which improvement opportunities are screened: good performance screens out basic opportunities and vice-versa.</a:t>
          </a:r>
          <a:endParaRPr lang="en-AU" sz="1100">
            <a:solidFill>
              <a:sysClr val="windowText" lastClr="000000"/>
            </a:solidFill>
          </a:endParaRPr>
        </a:p>
      </xdr:txBody>
    </xdr:sp>
    <xdr:clientData/>
  </xdr:twoCellAnchor>
  <xdr:twoCellAnchor>
    <xdr:from>
      <xdr:col>5</xdr:col>
      <xdr:colOff>47626</xdr:colOff>
      <xdr:row>57</xdr:row>
      <xdr:rowOff>7327</xdr:rowOff>
    </xdr:from>
    <xdr:to>
      <xdr:col>11</xdr:col>
      <xdr:colOff>381000</xdr:colOff>
      <xdr:row>60</xdr:row>
      <xdr:rowOff>129633</xdr:rowOff>
    </xdr:to>
    <xdr:sp macro="" textlink="">
      <xdr:nvSpPr>
        <xdr:cNvPr id="129" name="Flowchart: Data 128">
          <a:extLst>
            <a:ext uri="{FF2B5EF4-FFF2-40B4-BE49-F238E27FC236}">
              <a16:creationId xmlns:a16="http://schemas.microsoft.com/office/drawing/2014/main" id="{00000000-0008-0000-0300-000081000000}"/>
            </a:ext>
          </a:extLst>
        </xdr:cNvPr>
        <xdr:cNvSpPr/>
      </xdr:nvSpPr>
      <xdr:spPr>
        <a:xfrm>
          <a:off x="3095626" y="8103577"/>
          <a:ext cx="3990974" cy="608081"/>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Import the </a:t>
          </a:r>
          <a:r>
            <a:rPr lang="en-AU" sz="1100" i="1">
              <a:solidFill>
                <a:sysClr val="windowText" lastClr="000000"/>
              </a:solidFill>
            </a:rPr>
            <a:t>performance </a:t>
          </a:r>
          <a:r>
            <a:rPr lang="en-AU" sz="1100" i="1" baseline="0">
              <a:solidFill>
                <a:sysClr val="windowText" lastClr="000000"/>
              </a:solidFill>
            </a:rPr>
            <a:t>pyramid </a:t>
          </a:r>
          <a:r>
            <a:rPr lang="en-AU" sz="1100" baseline="0">
              <a:solidFill>
                <a:sysClr val="windowText" lastClr="000000"/>
              </a:solidFill>
            </a:rPr>
            <a:t>and the </a:t>
          </a:r>
          <a:r>
            <a:rPr lang="en-AU" sz="1100" i="1" baseline="0">
              <a:solidFill>
                <a:sysClr val="windowText" lastClr="000000"/>
              </a:solidFill>
            </a:rPr>
            <a:t>improvement opportunities </a:t>
          </a:r>
          <a:r>
            <a:rPr lang="en-AU" sz="1100" baseline="0">
              <a:solidFill>
                <a:sysClr val="windowText" lastClr="000000"/>
              </a:solidFill>
            </a:rPr>
            <a:t>library.</a:t>
          </a:r>
          <a:endParaRPr lang="en-AU" sz="1100">
            <a:solidFill>
              <a:sysClr val="windowText" lastClr="000000"/>
            </a:solidFill>
          </a:endParaRPr>
        </a:p>
      </xdr:txBody>
    </xdr:sp>
    <xdr:clientData/>
  </xdr:twoCellAnchor>
  <xdr:twoCellAnchor>
    <xdr:from>
      <xdr:col>5</xdr:col>
      <xdr:colOff>428625</xdr:colOff>
      <xdr:row>71</xdr:row>
      <xdr:rowOff>150202</xdr:rowOff>
    </xdr:from>
    <xdr:to>
      <xdr:col>11</xdr:col>
      <xdr:colOff>38100</xdr:colOff>
      <xdr:row>75</xdr:row>
      <xdr:rowOff>110583</xdr:rowOff>
    </xdr:to>
    <xdr:sp macro="" textlink="">
      <xdr:nvSpPr>
        <xdr:cNvPr id="165" name="Flowchart: Data 164">
          <a:extLst>
            <a:ext uri="{FF2B5EF4-FFF2-40B4-BE49-F238E27FC236}">
              <a16:creationId xmlns:a16="http://schemas.microsoft.com/office/drawing/2014/main" id="{00000000-0008-0000-0300-0000A5000000}"/>
            </a:ext>
          </a:extLst>
        </xdr:cNvPr>
        <xdr:cNvSpPr/>
      </xdr:nvSpPr>
      <xdr:spPr>
        <a:xfrm>
          <a:off x="3476625" y="10675327"/>
          <a:ext cx="3267075" cy="608081"/>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Import </a:t>
          </a:r>
          <a:r>
            <a:rPr lang="en-AU" sz="1100" i="1" baseline="0">
              <a:solidFill>
                <a:sysClr val="windowText" lastClr="000000"/>
              </a:solidFill>
            </a:rPr>
            <a:t>default cost figures </a:t>
          </a:r>
          <a:r>
            <a:rPr lang="en-AU" sz="1100" baseline="0">
              <a:solidFill>
                <a:sysClr val="windowText" lastClr="000000"/>
              </a:solidFill>
            </a:rPr>
            <a:t>and - if entered by the user - read the </a:t>
          </a:r>
          <a:r>
            <a:rPr lang="en-AU" sz="1100" i="1" baseline="0">
              <a:solidFill>
                <a:sysClr val="windowText" lastClr="000000"/>
              </a:solidFill>
            </a:rPr>
            <a:t>user's cost data</a:t>
          </a:r>
          <a:r>
            <a:rPr lang="en-AU" sz="1100" baseline="0">
              <a:solidFill>
                <a:sysClr val="windowText" lastClr="000000"/>
              </a:solidFill>
            </a:rPr>
            <a:t>.</a:t>
          </a:r>
        </a:p>
      </xdr:txBody>
    </xdr:sp>
    <xdr:clientData/>
  </xdr:twoCellAnchor>
  <xdr:twoCellAnchor>
    <xdr:from>
      <xdr:col>8</xdr:col>
      <xdr:colOff>228599</xdr:colOff>
      <xdr:row>69</xdr:row>
      <xdr:rowOff>95250</xdr:rowOff>
    </xdr:from>
    <xdr:to>
      <xdr:col>8</xdr:col>
      <xdr:colOff>233362</xdr:colOff>
      <xdr:row>71</xdr:row>
      <xdr:rowOff>150202</xdr:rowOff>
    </xdr:to>
    <xdr:cxnSp macro="">
      <xdr:nvCxnSpPr>
        <xdr:cNvPr id="168" name="Elbow Connector 167">
          <a:extLst>
            <a:ext uri="{FF2B5EF4-FFF2-40B4-BE49-F238E27FC236}">
              <a16:creationId xmlns:a16="http://schemas.microsoft.com/office/drawing/2014/main" id="{00000000-0008-0000-0300-0000A8000000}"/>
            </a:ext>
          </a:extLst>
        </xdr:cNvPr>
        <xdr:cNvCxnSpPr>
          <a:stCxn id="126" idx="2"/>
          <a:endCxn id="165" idx="1"/>
        </xdr:cNvCxnSpPr>
      </xdr:nvCxnSpPr>
      <xdr:spPr>
        <a:xfrm rot="16200000" flipH="1">
          <a:off x="4918380" y="10321619"/>
          <a:ext cx="378802" cy="4763"/>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5</xdr:col>
      <xdr:colOff>180975</xdr:colOff>
      <xdr:row>86</xdr:row>
      <xdr:rowOff>101032</xdr:rowOff>
    </xdr:from>
    <xdr:to>
      <xdr:col>11</xdr:col>
      <xdr:colOff>238125</xdr:colOff>
      <xdr:row>93</xdr:row>
      <xdr:rowOff>57150</xdr:rowOff>
    </xdr:to>
    <xdr:sp macro="" textlink="">
      <xdr:nvSpPr>
        <xdr:cNvPr id="182" name="Flowchart: Process 181">
          <a:extLst>
            <a:ext uri="{FF2B5EF4-FFF2-40B4-BE49-F238E27FC236}">
              <a16:creationId xmlns:a16="http://schemas.microsoft.com/office/drawing/2014/main" id="{00000000-0008-0000-0300-0000B6000000}"/>
            </a:ext>
          </a:extLst>
        </xdr:cNvPr>
        <xdr:cNvSpPr/>
      </xdr:nvSpPr>
      <xdr:spPr>
        <a:xfrm>
          <a:off x="3228975" y="12893107"/>
          <a:ext cx="3714750" cy="1089593"/>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Present benchmarking results and quantified improvement opportunities to the user. The top 4 opportunities for each benchmark category that save the most cost per annum overall are presented to the user.</a:t>
          </a:r>
          <a:endParaRPr lang="en-AU" sz="1100">
            <a:solidFill>
              <a:sysClr val="windowText" lastClr="000000"/>
            </a:solidFill>
          </a:endParaRPr>
        </a:p>
      </xdr:txBody>
    </xdr:sp>
    <xdr:clientData/>
  </xdr:twoCellAnchor>
  <xdr:twoCellAnchor>
    <xdr:from>
      <xdr:col>8</xdr:col>
      <xdr:colOff>209551</xdr:colOff>
      <xdr:row>84</xdr:row>
      <xdr:rowOff>85725</xdr:rowOff>
    </xdr:from>
    <xdr:to>
      <xdr:col>8</xdr:col>
      <xdr:colOff>219076</xdr:colOff>
      <xdr:row>86</xdr:row>
      <xdr:rowOff>101032</xdr:rowOff>
    </xdr:to>
    <xdr:cxnSp macro="">
      <xdr:nvCxnSpPr>
        <xdr:cNvPr id="183" name="Elbow Connector 182">
          <a:extLst>
            <a:ext uri="{FF2B5EF4-FFF2-40B4-BE49-F238E27FC236}">
              <a16:creationId xmlns:a16="http://schemas.microsoft.com/office/drawing/2014/main" id="{00000000-0008-0000-0300-0000B7000000}"/>
            </a:ext>
          </a:extLst>
        </xdr:cNvPr>
        <xdr:cNvCxnSpPr>
          <a:stCxn id="49" idx="2"/>
          <a:endCxn id="182" idx="0"/>
        </xdr:cNvCxnSpPr>
      </xdr:nvCxnSpPr>
      <xdr:spPr>
        <a:xfrm rot="5400000">
          <a:off x="4921535" y="12718766"/>
          <a:ext cx="339157" cy="9525"/>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8</xdr:col>
      <xdr:colOff>197984</xdr:colOff>
      <xdr:row>93</xdr:row>
      <xdr:rowOff>57150</xdr:rowOff>
    </xdr:from>
    <xdr:to>
      <xdr:col>8</xdr:col>
      <xdr:colOff>209551</xdr:colOff>
      <xdr:row>95</xdr:row>
      <xdr:rowOff>45469</xdr:rowOff>
    </xdr:to>
    <xdr:cxnSp macro="">
      <xdr:nvCxnSpPr>
        <xdr:cNvPr id="286" name="Elbow Connector 285">
          <a:extLst>
            <a:ext uri="{FF2B5EF4-FFF2-40B4-BE49-F238E27FC236}">
              <a16:creationId xmlns:a16="http://schemas.microsoft.com/office/drawing/2014/main" id="{00000000-0008-0000-0300-00001E010000}"/>
            </a:ext>
          </a:extLst>
        </xdr:cNvPr>
        <xdr:cNvCxnSpPr>
          <a:stCxn id="182" idx="2"/>
          <a:endCxn id="293" idx="0"/>
        </xdr:cNvCxnSpPr>
      </xdr:nvCxnSpPr>
      <xdr:spPr>
        <a:xfrm rot="5400000">
          <a:off x="4924483" y="15104551"/>
          <a:ext cx="312169" cy="11567"/>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7</xdr:col>
      <xdr:colOff>310922</xdr:colOff>
      <xdr:row>102</xdr:row>
      <xdr:rowOff>2721</xdr:rowOff>
    </xdr:from>
    <xdr:to>
      <xdr:col>9</xdr:col>
      <xdr:colOff>85044</xdr:colOff>
      <xdr:row>104</xdr:row>
      <xdr:rowOff>59870</xdr:rowOff>
    </xdr:to>
    <xdr:sp macro="" textlink="">
      <xdr:nvSpPr>
        <xdr:cNvPr id="292" name="Flowchart: Terminator 291">
          <a:extLst>
            <a:ext uri="{FF2B5EF4-FFF2-40B4-BE49-F238E27FC236}">
              <a16:creationId xmlns:a16="http://schemas.microsoft.com/office/drawing/2014/main" id="{00000000-0008-0000-0300-000024010000}"/>
            </a:ext>
          </a:extLst>
        </xdr:cNvPr>
        <xdr:cNvSpPr/>
      </xdr:nvSpPr>
      <xdr:spPr>
        <a:xfrm>
          <a:off x="4578122" y="16357146"/>
          <a:ext cx="993322" cy="380999"/>
        </a:xfrm>
        <a:prstGeom prst="flowChartTerminator">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End</a:t>
          </a:r>
        </a:p>
      </xdr:txBody>
    </xdr:sp>
    <xdr:clientData/>
  </xdr:twoCellAnchor>
  <xdr:twoCellAnchor>
    <xdr:from>
      <xdr:col>6</xdr:col>
      <xdr:colOff>602795</xdr:colOff>
      <xdr:row>95</xdr:row>
      <xdr:rowOff>45469</xdr:rowOff>
    </xdr:from>
    <xdr:to>
      <xdr:col>9</xdr:col>
      <xdr:colOff>402770</xdr:colOff>
      <xdr:row>99</xdr:row>
      <xdr:rowOff>159769</xdr:rowOff>
    </xdr:to>
    <xdr:sp macro="" textlink="">
      <xdr:nvSpPr>
        <xdr:cNvPr id="293" name="Flowchart: Process 292">
          <a:extLst>
            <a:ext uri="{FF2B5EF4-FFF2-40B4-BE49-F238E27FC236}">
              <a16:creationId xmlns:a16="http://schemas.microsoft.com/office/drawing/2014/main" id="{00000000-0008-0000-0300-000025010000}"/>
            </a:ext>
          </a:extLst>
        </xdr:cNvPr>
        <xdr:cNvSpPr/>
      </xdr:nvSpPr>
      <xdr:spPr>
        <a:xfrm>
          <a:off x="4260395" y="15266419"/>
          <a:ext cx="1628775" cy="762000"/>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Present final output sheet to User</a:t>
          </a:r>
          <a:endParaRPr lang="en-AU" sz="1100">
            <a:solidFill>
              <a:sysClr val="windowText" lastClr="000000"/>
            </a:solidFill>
          </a:endParaRPr>
        </a:p>
      </xdr:txBody>
    </xdr:sp>
    <xdr:clientData/>
  </xdr:twoCellAnchor>
  <xdr:twoCellAnchor>
    <xdr:from>
      <xdr:col>8</xdr:col>
      <xdr:colOff>191634</xdr:colOff>
      <xdr:row>100</xdr:row>
      <xdr:rowOff>4193</xdr:rowOff>
    </xdr:from>
    <xdr:to>
      <xdr:col>8</xdr:col>
      <xdr:colOff>204334</xdr:colOff>
      <xdr:row>102</xdr:row>
      <xdr:rowOff>9070</xdr:rowOff>
    </xdr:to>
    <xdr:cxnSp macro="">
      <xdr:nvCxnSpPr>
        <xdr:cNvPr id="296" name="Elbow Connector 295">
          <a:extLst>
            <a:ext uri="{FF2B5EF4-FFF2-40B4-BE49-F238E27FC236}">
              <a16:creationId xmlns:a16="http://schemas.microsoft.com/office/drawing/2014/main" id="{00000000-0008-0000-0300-000028010000}"/>
            </a:ext>
          </a:extLst>
        </xdr:cNvPr>
        <xdr:cNvCxnSpPr>
          <a:stCxn id="293" idx="2"/>
          <a:endCxn id="292" idx="0"/>
        </xdr:cNvCxnSpPr>
      </xdr:nvCxnSpPr>
      <xdr:spPr>
        <a:xfrm rot="5400000">
          <a:off x="4910420" y="16192782"/>
          <a:ext cx="328727" cy="1270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6</xdr:col>
      <xdr:colOff>383720</xdr:colOff>
      <xdr:row>42</xdr:row>
      <xdr:rowOff>103073</xdr:rowOff>
    </xdr:from>
    <xdr:to>
      <xdr:col>9</xdr:col>
      <xdr:colOff>533400</xdr:colOff>
      <xdr:row>47</xdr:row>
      <xdr:rowOff>55449</xdr:rowOff>
    </xdr:to>
    <xdr:sp macro="" textlink="">
      <xdr:nvSpPr>
        <xdr:cNvPr id="39" name="Flowchart: Process 38">
          <a:extLst>
            <a:ext uri="{FF2B5EF4-FFF2-40B4-BE49-F238E27FC236}">
              <a16:creationId xmlns:a16="http://schemas.microsoft.com/office/drawing/2014/main" id="{00000000-0008-0000-0300-000027000000}"/>
            </a:ext>
          </a:extLst>
        </xdr:cNvPr>
        <xdr:cNvSpPr/>
      </xdr:nvSpPr>
      <xdr:spPr>
        <a:xfrm>
          <a:off x="4041320" y="6903923"/>
          <a:ext cx="1978480" cy="762001"/>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Further modify the benchmark plant based on user's production capacity and predominant species.</a:t>
          </a:r>
          <a:endParaRPr lang="en-AU" sz="1100">
            <a:solidFill>
              <a:sysClr val="windowText" lastClr="000000"/>
            </a:solidFill>
          </a:endParaRPr>
        </a:p>
      </xdr:txBody>
    </xdr:sp>
    <xdr:clientData/>
  </xdr:twoCellAnchor>
  <xdr:twoCellAnchor>
    <xdr:from>
      <xdr:col>8</xdr:col>
      <xdr:colOff>153760</xdr:colOff>
      <xdr:row>47</xdr:row>
      <xdr:rowOff>55449</xdr:rowOff>
    </xdr:from>
    <xdr:to>
      <xdr:col>8</xdr:col>
      <xdr:colOff>179876</xdr:colOff>
      <xdr:row>49</xdr:row>
      <xdr:rowOff>98201</xdr:rowOff>
    </xdr:to>
    <xdr:cxnSp macro="">
      <xdr:nvCxnSpPr>
        <xdr:cNvPr id="41" name="Elbow Connector 40">
          <a:extLst>
            <a:ext uri="{FF2B5EF4-FFF2-40B4-BE49-F238E27FC236}">
              <a16:creationId xmlns:a16="http://schemas.microsoft.com/office/drawing/2014/main" id="{00000000-0008-0000-0300-000029000000}"/>
            </a:ext>
          </a:extLst>
        </xdr:cNvPr>
        <xdr:cNvCxnSpPr>
          <a:stCxn id="39" idx="2"/>
          <a:endCxn id="91" idx="0"/>
        </xdr:cNvCxnSpPr>
      </xdr:nvCxnSpPr>
      <xdr:spPr>
        <a:xfrm rot="16200000" flipH="1">
          <a:off x="4698392" y="7998092"/>
          <a:ext cx="690452" cy="26116"/>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256190</xdr:colOff>
      <xdr:row>1</xdr:row>
      <xdr:rowOff>42183</xdr:rowOff>
    </xdr:from>
    <xdr:to>
      <xdr:col>4</xdr:col>
      <xdr:colOff>27591</xdr:colOff>
      <xdr:row>3</xdr:row>
      <xdr:rowOff>99332</xdr:rowOff>
    </xdr:to>
    <xdr:sp macro="" textlink="">
      <xdr:nvSpPr>
        <xdr:cNvPr id="2" name="Flowchart: Terminator 1">
          <a:extLst>
            <a:ext uri="{FF2B5EF4-FFF2-40B4-BE49-F238E27FC236}">
              <a16:creationId xmlns:a16="http://schemas.microsoft.com/office/drawing/2014/main" id="{00000000-0008-0000-0400-000002000000}"/>
            </a:ext>
          </a:extLst>
        </xdr:cNvPr>
        <xdr:cNvSpPr/>
      </xdr:nvSpPr>
      <xdr:spPr>
        <a:xfrm>
          <a:off x="1483857" y="200933"/>
          <a:ext cx="999067" cy="374649"/>
        </a:xfrm>
        <a:prstGeom prst="flowChartTerminator">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Start</a:t>
          </a:r>
        </a:p>
      </xdr:txBody>
    </xdr:sp>
    <xdr:clientData/>
  </xdr:twoCellAnchor>
  <xdr:twoCellAnchor>
    <xdr:from>
      <xdr:col>1</xdr:col>
      <xdr:colOff>480028</xdr:colOff>
      <xdr:row>5</xdr:row>
      <xdr:rowOff>104208</xdr:rowOff>
    </xdr:from>
    <xdr:to>
      <xdr:col>4</xdr:col>
      <xdr:colOff>413353</xdr:colOff>
      <xdr:row>9</xdr:row>
      <xdr:rowOff>64747</xdr:rowOff>
    </xdr:to>
    <xdr:sp macro="" textlink="">
      <xdr:nvSpPr>
        <xdr:cNvPr id="3" name="Flowchart: Data 2">
          <a:extLst>
            <a:ext uri="{FF2B5EF4-FFF2-40B4-BE49-F238E27FC236}">
              <a16:creationId xmlns:a16="http://schemas.microsoft.com/office/drawing/2014/main" id="{00000000-0008-0000-0400-000003000000}"/>
            </a:ext>
          </a:extLst>
        </xdr:cNvPr>
        <xdr:cNvSpPr/>
      </xdr:nvSpPr>
      <xdr:spPr>
        <a:xfrm>
          <a:off x="1093861" y="897958"/>
          <a:ext cx="1774825" cy="595539"/>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Read user's input data</a:t>
          </a:r>
        </a:p>
      </xdr:txBody>
    </xdr:sp>
    <xdr:clientData/>
  </xdr:twoCellAnchor>
  <xdr:twoCellAnchor>
    <xdr:from>
      <xdr:col>1</xdr:col>
      <xdr:colOff>546703</xdr:colOff>
      <xdr:row>21</xdr:row>
      <xdr:rowOff>103073</xdr:rowOff>
    </xdr:from>
    <xdr:to>
      <xdr:col>4</xdr:col>
      <xdr:colOff>346678</xdr:colOff>
      <xdr:row>26</xdr:row>
      <xdr:rowOff>55449</xdr:rowOff>
    </xdr:to>
    <xdr:sp macro="" textlink="">
      <xdr:nvSpPr>
        <xdr:cNvPr id="4" name="Flowchart: Process 3">
          <a:extLst>
            <a:ext uri="{FF2B5EF4-FFF2-40B4-BE49-F238E27FC236}">
              <a16:creationId xmlns:a16="http://schemas.microsoft.com/office/drawing/2014/main" id="{00000000-0008-0000-0400-000004000000}"/>
            </a:ext>
          </a:extLst>
        </xdr:cNvPr>
        <xdr:cNvSpPr/>
      </xdr:nvSpPr>
      <xdr:spPr>
        <a:xfrm>
          <a:off x="1160536" y="3436823"/>
          <a:ext cx="1641475" cy="746126"/>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Calculate user's plant performance for each benchmark category</a:t>
          </a:r>
          <a:endParaRPr lang="en-AU" sz="1100">
            <a:solidFill>
              <a:sysClr val="windowText" lastClr="000000"/>
            </a:solidFill>
          </a:endParaRPr>
        </a:p>
      </xdr:txBody>
    </xdr:sp>
    <xdr:clientData/>
  </xdr:twoCellAnchor>
  <xdr:twoCellAnchor>
    <xdr:from>
      <xdr:col>1</xdr:col>
      <xdr:colOff>325966</xdr:colOff>
      <xdr:row>10</xdr:row>
      <xdr:rowOff>133350</xdr:rowOff>
    </xdr:from>
    <xdr:to>
      <xdr:col>4</xdr:col>
      <xdr:colOff>573616</xdr:colOff>
      <xdr:row>19</xdr:row>
      <xdr:rowOff>98198</xdr:rowOff>
    </xdr:to>
    <xdr:sp macro="" textlink="">
      <xdr:nvSpPr>
        <xdr:cNvPr id="5" name="Flowchart: Decision 4">
          <a:extLst>
            <a:ext uri="{FF2B5EF4-FFF2-40B4-BE49-F238E27FC236}">
              <a16:creationId xmlns:a16="http://schemas.microsoft.com/office/drawing/2014/main" id="{00000000-0008-0000-0400-000005000000}"/>
            </a:ext>
          </a:extLst>
        </xdr:cNvPr>
        <xdr:cNvSpPr/>
      </xdr:nvSpPr>
      <xdr:spPr>
        <a:xfrm>
          <a:off x="939799" y="1720850"/>
          <a:ext cx="2089150" cy="1393598"/>
        </a:xfrm>
        <a:prstGeom prst="flowChartDecision">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Error or omissions in user's input?</a:t>
          </a:r>
        </a:p>
      </xdr:txBody>
    </xdr:sp>
    <xdr:clientData/>
  </xdr:twoCellAnchor>
  <xdr:twoCellAnchor>
    <xdr:from>
      <xdr:col>0</xdr:col>
      <xdr:colOff>437846</xdr:colOff>
      <xdr:row>28</xdr:row>
      <xdr:rowOff>50799</xdr:rowOff>
    </xdr:from>
    <xdr:to>
      <xdr:col>5</xdr:col>
      <xdr:colOff>467783</xdr:colOff>
      <xdr:row>32</xdr:row>
      <xdr:rowOff>66675</xdr:rowOff>
    </xdr:to>
    <xdr:sp macro="" textlink="">
      <xdr:nvSpPr>
        <xdr:cNvPr id="6" name="Flowchart: Data 5">
          <a:extLst>
            <a:ext uri="{FF2B5EF4-FFF2-40B4-BE49-F238E27FC236}">
              <a16:creationId xmlns:a16="http://schemas.microsoft.com/office/drawing/2014/main" id="{00000000-0008-0000-0400-000006000000}"/>
            </a:ext>
          </a:extLst>
        </xdr:cNvPr>
        <xdr:cNvSpPr/>
      </xdr:nvSpPr>
      <xdr:spPr>
        <a:xfrm>
          <a:off x="437846" y="4495799"/>
          <a:ext cx="3099104" cy="650876"/>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Import </a:t>
          </a:r>
          <a:r>
            <a:rPr lang="en-AU" sz="1100" i="1">
              <a:solidFill>
                <a:sysClr val="windowText" lastClr="000000"/>
              </a:solidFill>
            </a:rPr>
            <a:t>benchmark plant </a:t>
          </a:r>
          <a:r>
            <a:rPr lang="en-AU" sz="1100">
              <a:solidFill>
                <a:sysClr val="windowText" lastClr="000000"/>
              </a:solidFill>
            </a:rPr>
            <a:t>data for each benchmark category</a:t>
          </a:r>
        </a:p>
      </xdr:txBody>
    </xdr:sp>
    <xdr:clientData/>
  </xdr:twoCellAnchor>
  <xdr:twoCellAnchor>
    <xdr:from>
      <xdr:col>3</xdr:col>
      <xdr:colOff>145898</xdr:colOff>
      <xdr:row>32</xdr:row>
      <xdr:rowOff>66674</xdr:rowOff>
    </xdr:from>
    <xdr:to>
      <xdr:col>3</xdr:col>
      <xdr:colOff>146881</xdr:colOff>
      <xdr:row>34</xdr:row>
      <xdr:rowOff>131647</xdr:rowOff>
    </xdr:to>
    <xdr:cxnSp macro="">
      <xdr:nvCxnSpPr>
        <xdr:cNvPr id="7" name="Elbow Connector 6">
          <a:extLst>
            <a:ext uri="{FF2B5EF4-FFF2-40B4-BE49-F238E27FC236}">
              <a16:creationId xmlns:a16="http://schemas.microsoft.com/office/drawing/2014/main" id="{00000000-0008-0000-0400-000007000000}"/>
            </a:ext>
          </a:extLst>
        </xdr:cNvPr>
        <xdr:cNvCxnSpPr>
          <a:stCxn id="6" idx="4"/>
          <a:endCxn id="20" idx="0"/>
        </xdr:cNvCxnSpPr>
      </xdr:nvCxnSpPr>
      <xdr:spPr>
        <a:xfrm rot="16200000" flipH="1">
          <a:off x="1796653" y="5337419"/>
          <a:ext cx="382473" cy="983"/>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3</xdr:col>
      <xdr:colOff>139774</xdr:colOff>
      <xdr:row>26</xdr:row>
      <xdr:rowOff>55449</xdr:rowOff>
    </xdr:from>
    <xdr:to>
      <xdr:col>3</xdr:col>
      <xdr:colOff>145898</xdr:colOff>
      <xdr:row>28</xdr:row>
      <xdr:rowOff>50799</xdr:rowOff>
    </xdr:to>
    <xdr:cxnSp macro="">
      <xdr:nvCxnSpPr>
        <xdr:cNvPr id="8" name="Elbow Connector 7">
          <a:extLst>
            <a:ext uri="{FF2B5EF4-FFF2-40B4-BE49-F238E27FC236}">
              <a16:creationId xmlns:a16="http://schemas.microsoft.com/office/drawing/2014/main" id="{00000000-0008-0000-0400-000008000000}"/>
            </a:ext>
          </a:extLst>
        </xdr:cNvPr>
        <xdr:cNvCxnSpPr>
          <a:stCxn id="4" idx="2"/>
          <a:endCxn id="6" idx="1"/>
        </xdr:cNvCxnSpPr>
      </xdr:nvCxnSpPr>
      <xdr:spPr>
        <a:xfrm rot="16200000" flipH="1">
          <a:off x="1827911" y="4336312"/>
          <a:ext cx="312850" cy="6124"/>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3</xdr:col>
      <xdr:colOff>139775</xdr:colOff>
      <xdr:row>19</xdr:row>
      <xdr:rowOff>98197</xdr:rowOff>
    </xdr:from>
    <xdr:to>
      <xdr:col>3</xdr:col>
      <xdr:colOff>142875</xdr:colOff>
      <xdr:row>21</xdr:row>
      <xdr:rowOff>103072</xdr:rowOff>
    </xdr:to>
    <xdr:cxnSp macro="">
      <xdr:nvCxnSpPr>
        <xdr:cNvPr id="9" name="Elbow Connector 8">
          <a:extLst>
            <a:ext uri="{FF2B5EF4-FFF2-40B4-BE49-F238E27FC236}">
              <a16:creationId xmlns:a16="http://schemas.microsoft.com/office/drawing/2014/main" id="{00000000-0008-0000-0400-000009000000}"/>
            </a:ext>
          </a:extLst>
        </xdr:cNvPr>
        <xdr:cNvCxnSpPr>
          <a:stCxn id="5" idx="2"/>
          <a:endCxn id="4" idx="0"/>
        </xdr:cNvCxnSpPr>
      </xdr:nvCxnSpPr>
      <xdr:spPr>
        <a:xfrm rot="5400000">
          <a:off x="1821637" y="3274085"/>
          <a:ext cx="322375" cy="310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4</xdr:col>
      <xdr:colOff>573616</xdr:colOff>
      <xdr:row>15</xdr:row>
      <xdr:rowOff>36173</xdr:rowOff>
    </xdr:from>
    <xdr:to>
      <xdr:col>6</xdr:col>
      <xdr:colOff>102455</xdr:colOff>
      <xdr:row>15</xdr:row>
      <xdr:rowOff>36399</xdr:rowOff>
    </xdr:to>
    <xdr:cxnSp macro="">
      <xdr:nvCxnSpPr>
        <xdr:cNvPr id="10" name="Elbow Connector 9">
          <a:extLst>
            <a:ext uri="{FF2B5EF4-FFF2-40B4-BE49-F238E27FC236}">
              <a16:creationId xmlns:a16="http://schemas.microsoft.com/office/drawing/2014/main" id="{00000000-0008-0000-0400-00000A000000}"/>
            </a:ext>
          </a:extLst>
        </xdr:cNvPr>
        <xdr:cNvCxnSpPr>
          <a:stCxn id="5" idx="3"/>
          <a:endCxn id="11" idx="1"/>
        </xdr:cNvCxnSpPr>
      </xdr:nvCxnSpPr>
      <xdr:spPr>
        <a:xfrm flipV="1">
          <a:off x="3028949" y="2417423"/>
          <a:ext cx="756506" cy="226"/>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6</xdr:col>
      <xdr:colOff>102455</xdr:colOff>
      <xdr:row>13</xdr:row>
      <xdr:rowOff>3515</xdr:rowOff>
    </xdr:from>
    <xdr:to>
      <xdr:col>8</xdr:col>
      <xdr:colOff>552450</xdr:colOff>
      <xdr:row>17</xdr:row>
      <xdr:rowOff>68830</xdr:rowOff>
    </xdr:to>
    <xdr:sp macro="" textlink="">
      <xdr:nvSpPr>
        <xdr:cNvPr id="11" name="Flowchart: Process 10">
          <a:extLst>
            <a:ext uri="{FF2B5EF4-FFF2-40B4-BE49-F238E27FC236}">
              <a16:creationId xmlns:a16="http://schemas.microsoft.com/office/drawing/2014/main" id="{00000000-0008-0000-0400-00000B000000}"/>
            </a:ext>
          </a:extLst>
        </xdr:cNvPr>
        <xdr:cNvSpPr/>
      </xdr:nvSpPr>
      <xdr:spPr>
        <a:xfrm>
          <a:off x="6808055" y="2108540"/>
          <a:ext cx="1669195" cy="713015"/>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Display error and prompt user to correct or provide input</a:t>
          </a:r>
          <a:endParaRPr lang="en-AU" sz="1100">
            <a:solidFill>
              <a:sysClr val="windowText" lastClr="000000"/>
            </a:solidFill>
          </a:endParaRPr>
        </a:p>
      </xdr:txBody>
    </xdr:sp>
    <xdr:clientData/>
  </xdr:twoCellAnchor>
  <xdr:twoCellAnchor>
    <xdr:from>
      <xdr:col>3</xdr:col>
      <xdr:colOff>139775</xdr:colOff>
      <xdr:row>9</xdr:row>
      <xdr:rowOff>64746</xdr:rowOff>
    </xdr:from>
    <xdr:to>
      <xdr:col>3</xdr:col>
      <xdr:colOff>142875</xdr:colOff>
      <xdr:row>10</xdr:row>
      <xdr:rowOff>133349</xdr:rowOff>
    </xdr:to>
    <xdr:cxnSp macro="">
      <xdr:nvCxnSpPr>
        <xdr:cNvPr id="12" name="Elbow Connector 11">
          <a:extLst>
            <a:ext uri="{FF2B5EF4-FFF2-40B4-BE49-F238E27FC236}">
              <a16:creationId xmlns:a16="http://schemas.microsoft.com/office/drawing/2014/main" id="{00000000-0008-0000-0400-00000C000000}"/>
            </a:ext>
          </a:extLst>
        </xdr:cNvPr>
        <xdr:cNvCxnSpPr>
          <a:stCxn id="3" idx="4"/>
          <a:endCxn id="5" idx="0"/>
        </xdr:cNvCxnSpPr>
      </xdr:nvCxnSpPr>
      <xdr:spPr>
        <a:xfrm rot="16200000" flipH="1">
          <a:off x="1869148" y="1605623"/>
          <a:ext cx="227353" cy="310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3</xdr:col>
      <xdr:colOff>139774</xdr:colOff>
      <xdr:row>3</xdr:row>
      <xdr:rowOff>99333</xdr:rowOff>
    </xdr:from>
    <xdr:to>
      <xdr:col>3</xdr:col>
      <xdr:colOff>141891</xdr:colOff>
      <xdr:row>5</xdr:row>
      <xdr:rowOff>104209</xdr:rowOff>
    </xdr:to>
    <xdr:cxnSp macro="">
      <xdr:nvCxnSpPr>
        <xdr:cNvPr id="13" name="Elbow Connector 12">
          <a:extLst>
            <a:ext uri="{FF2B5EF4-FFF2-40B4-BE49-F238E27FC236}">
              <a16:creationId xmlns:a16="http://schemas.microsoft.com/office/drawing/2014/main" id="{00000000-0008-0000-0400-00000D000000}"/>
            </a:ext>
          </a:extLst>
        </xdr:cNvPr>
        <xdr:cNvCxnSpPr>
          <a:stCxn id="2" idx="2"/>
          <a:endCxn id="3" idx="1"/>
        </xdr:cNvCxnSpPr>
      </xdr:nvCxnSpPr>
      <xdr:spPr>
        <a:xfrm rot="5400000">
          <a:off x="1821145" y="735712"/>
          <a:ext cx="322376" cy="2117"/>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oneCellAnchor>
    <xdr:from>
      <xdr:col>4</xdr:col>
      <xdr:colOff>602743</xdr:colOff>
      <xdr:row>13</xdr:row>
      <xdr:rowOff>86557</xdr:rowOff>
    </xdr:from>
    <xdr:ext cx="427746" cy="25455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6089143" y="2191582"/>
          <a:ext cx="42774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ysClr val="windowText" lastClr="000000"/>
              </a:solidFill>
            </a:rPr>
            <a:t>Yes</a:t>
          </a:r>
        </a:p>
      </xdr:txBody>
    </xdr:sp>
    <xdr:clientData/>
  </xdr:oneCellAnchor>
  <xdr:oneCellAnchor>
    <xdr:from>
      <xdr:col>3</xdr:col>
      <xdr:colOff>250278</xdr:colOff>
      <xdr:row>19</xdr:row>
      <xdr:rowOff>98535</xdr:rowOff>
    </xdr:from>
    <xdr:ext cx="365036" cy="254557"/>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5127078" y="3175110"/>
          <a:ext cx="36503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ysClr val="windowText" lastClr="000000"/>
              </a:solidFill>
            </a:rPr>
            <a:t>No</a:t>
          </a:r>
        </a:p>
      </xdr:txBody>
    </xdr:sp>
    <xdr:clientData/>
  </xdr:oneCellAnchor>
  <xdr:twoCellAnchor>
    <xdr:from>
      <xdr:col>3</xdr:col>
      <xdr:colOff>317257</xdr:colOff>
      <xdr:row>5</xdr:row>
      <xdr:rowOff>104208</xdr:rowOff>
    </xdr:from>
    <xdr:to>
      <xdr:col>7</xdr:col>
      <xdr:colOff>327454</xdr:colOff>
      <xdr:row>13</xdr:row>
      <xdr:rowOff>3515</xdr:rowOff>
    </xdr:to>
    <xdr:cxnSp macro="">
      <xdr:nvCxnSpPr>
        <xdr:cNvPr id="16" name="Elbow Connector 15">
          <a:extLst>
            <a:ext uri="{FF2B5EF4-FFF2-40B4-BE49-F238E27FC236}">
              <a16:creationId xmlns:a16="http://schemas.microsoft.com/office/drawing/2014/main" id="{00000000-0008-0000-0400-000010000000}"/>
            </a:ext>
          </a:extLst>
        </xdr:cNvPr>
        <xdr:cNvCxnSpPr>
          <a:stCxn id="11" idx="0"/>
          <a:endCxn id="3" idx="0"/>
        </xdr:cNvCxnSpPr>
      </xdr:nvCxnSpPr>
      <xdr:spPr>
        <a:xfrm rot="16200000" flipV="1">
          <a:off x="2806868" y="249847"/>
          <a:ext cx="1169307" cy="2465530"/>
        </a:xfrm>
        <a:prstGeom prst="bentConnector3">
          <a:avLst>
            <a:gd name="adj1" fmla="val 11955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10</xdr:col>
      <xdr:colOff>459442</xdr:colOff>
      <xdr:row>33</xdr:row>
      <xdr:rowOff>77320</xdr:rowOff>
    </xdr:from>
    <xdr:to>
      <xdr:col>10</xdr:col>
      <xdr:colOff>461061</xdr:colOff>
      <xdr:row>35</xdr:row>
      <xdr:rowOff>33942</xdr:rowOff>
    </xdr:to>
    <xdr:cxnSp macro="">
      <xdr:nvCxnSpPr>
        <xdr:cNvPr id="17" name="Elbow Connector 16">
          <a:extLst>
            <a:ext uri="{FF2B5EF4-FFF2-40B4-BE49-F238E27FC236}">
              <a16:creationId xmlns:a16="http://schemas.microsoft.com/office/drawing/2014/main" id="{00000000-0008-0000-0400-000011000000}"/>
            </a:ext>
          </a:extLst>
        </xdr:cNvPr>
        <xdr:cNvCxnSpPr>
          <a:stCxn id="26" idx="1"/>
          <a:endCxn id="18" idx="2"/>
        </xdr:cNvCxnSpPr>
      </xdr:nvCxnSpPr>
      <xdr:spPr>
        <a:xfrm rot="16200000" flipV="1">
          <a:off x="6461524" y="5452321"/>
          <a:ext cx="274122" cy="1619"/>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7</xdr:col>
      <xdr:colOff>426104</xdr:colOff>
      <xdr:row>26</xdr:row>
      <xdr:rowOff>126715</xdr:rowOff>
    </xdr:from>
    <xdr:to>
      <xdr:col>13</xdr:col>
      <xdr:colOff>492779</xdr:colOff>
      <xdr:row>33</xdr:row>
      <xdr:rowOff>77320</xdr:rowOff>
    </xdr:to>
    <xdr:sp macro="" textlink="">
      <xdr:nvSpPr>
        <xdr:cNvPr id="18" name="Flowchart: Process 17">
          <a:extLst>
            <a:ext uri="{FF2B5EF4-FFF2-40B4-BE49-F238E27FC236}">
              <a16:creationId xmlns:a16="http://schemas.microsoft.com/office/drawing/2014/main" id="{00000000-0008-0000-0400-000012000000}"/>
            </a:ext>
          </a:extLst>
        </xdr:cNvPr>
        <xdr:cNvSpPr/>
      </xdr:nvSpPr>
      <xdr:spPr>
        <a:xfrm>
          <a:off x="4661928" y="4205656"/>
          <a:ext cx="3697380" cy="1048782"/>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Quantify each improvement opportunity, first using default cost figures. Then, if user's cost data is available, modify savings and payback periods with these figures. Screen out opportunities that exceed the user's maximum payback threshold.</a:t>
          </a:r>
          <a:endParaRPr lang="en-AU" sz="1100">
            <a:solidFill>
              <a:sysClr val="windowText" lastClr="000000"/>
            </a:solidFill>
          </a:endParaRPr>
        </a:p>
      </xdr:txBody>
    </xdr:sp>
    <xdr:clientData/>
  </xdr:twoCellAnchor>
  <xdr:twoCellAnchor>
    <xdr:from>
      <xdr:col>10</xdr:col>
      <xdr:colOff>463022</xdr:colOff>
      <xdr:row>48</xdr:row>
      <xdr:rowOff>57432</xdr:rowOff>
    </xdr:from>
    <xdr:to>
      <xdr:col>10</xdr:col>
      <xdr:colOff>463023</xdr:colOff>
      <xdr:row>51</xdr:row>
      <xdr:rowOff>7327</xdr:rowOff>
    </xdr:to>
    <xdr:cxnSp macro="">
      <xdr:nvCxnSpPr>
        <xdr:cNvPr id="19" name="Elbow Connector 18">
          <a:extLst>
            <a:ext uri="{FF2B5EF4-FFF2-40B4-BE49-F238E27FC236}">
              <a16:creationId xmlns:a16="http://schemas.microsoft.com/office/drawing/2014/main" id="{00000000-0008-0000-0400-000013000000}"/>
            </a:ext>
          </a:extLst>
        </xdr:cNvPr>
        <xdr:cNvCxnSpPr>
          <a:stCxn id="25" idx="1"/>
          <a:endCxn id="24" idx="2"/>
        </xdr:cNvCxnSpPr>
      </xdr:nvCxnSpPr>
      <xdr:spPr>
        <a:xfrm rot="16200000" flipV="1">
          <a:off x="6388283" y="7890504"/>
          <a:ext cx="426145" cy="1"/>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1</xdr:col>
      <xdr:colOff>459920</xdr:colOff>
      <xdr:row>34</xdr:row>
      <xdr:rowOff>131648</xdr:rowOff>
    </xdr:from>
    <xdr:to>
      <xdr:col>4</xdr:col>
      <xdr:colOff>447675</xdr:colOff>
      <xdr:row>40</xdr:row>
      <xdr:rowOff>84024</xdr:rowOff>
    </xdr:to>
    <xdr:sp macro="" textlink="">
      <xdr:nvSpPr>
        <xdr:cNvPr id="20" name="Flowchart: Process 19">
          <a:extLst>
            <a:ext uri="{FF2B5EF4-FFF2-40B4-BE49-F238E27FC236}">
              <a16:creationId xmlns:a16="http://schemas.microsoft.com/office/drawing/2014/main" id="{00000000-0008-0000-0400-000014000000}"/>
            </a:ext>
          </a:extLst>
        </xdr:cNvPr>
        <xdr:cNvSpPr/>
      </xdr:nvSpPr>
      <xdr:spPr>
        <a:xfrm>
          <a:off x="1073753" y="5529148"/>
          <a:ext cx="1829255" cy="904876"/>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To compare against user's plant, modify </a:t>
          </a:r>
          <a:r>
            <a:rPr lang="en-AU" sz="1100" i="0" baseline="0">
              <a:solidFill>
                <a:sysClr val="windowText" lastClr="000000"/>
              </a:solidFill>
            </a:rPr>
            <a:t>benchmark plant </a:t>
          </a:r>
          <a:r>
            <a:rPr lang="en-AU" sz="1100" baseline="0">
              <a:solidFill>
                <a:sysClr val="windowText" lastClr="000000"/>
              </a:solidFill>
            </a:rPr>
            <a:t>based on user's plant facilities and facility througputs.</a:t>
          </a:r>
          <a:endParaRPr lang="en-AU" sz="1100">
            <a:solidFill>
              <a:sysClr val="windowText" lastClr="000000"/>
            </a:solidFill>
          </a:endParaRPr>
        </a:p>
      </xdr:txBody>
    </xdr:sp>
    <xdr:clientData/>
  </xdr:twoCellAnchor>
  <xdr:twoCellAnchor>
    <xdr:from>
      <xdr:col>3</xdr:col>
      <xdr:colOff>146882</xdr:colOff>
      <xdr:row>40</xdr:row>
      <xdr:rowOff>84023</xdr:rowOff>
    </xdr:from>
    <xdr:to>
      <xdr:col>3</xdr:col>
      <xdr:colOff>151644</xdr:colOff>
      <xdr:row>42</xdr:row>
      <xdr:rowOff>103072</xdr:rowOff>
    </xdr:to>
    <xdr:cxnSp macro="">
      <xdr:nvCxnSpPr>
        <xdr:cNvPr id="21" name="Elbow Connector 20">
          <a:extLst>
            <a:ext uri="{FF2B5EF4-FFF2-40B4-BE49-F238E27FC236}">
              <a16:creationId xmlns:a16="http://schemas.microsoft.com/office/drawing/2014/main" id="{00000000-0008-0000-0400-000015000000}"/>
            </a:ext>
          </a:extLst>
        </xdr:cNvPr>
        <xdr:cNvCxnSpPr>
          <a:stCxn id="20" idx="2"/>
          <a:endCxn id="34" idx="0"/>
        </xdr:cNvCxnSpPr>
      </xdr:nvCxnSpPr>
      <xdr:spPr>
        <a:xfrm rot="16200000" flipH="1">
          <a:off x="1822488" y="6599917"/>
          <a:ext cx="336549" cy="4762"/>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0</xdr:col>
      <xdr:colOff>175602</xdr:colOff>
      <xdr:row>49</xdr:row>
      <xdr:rowOff>98201</xdr:rowOff>
    </xdr:from>
    <xdr:to>
      <xdr:col>6</xdr:col>
      <xdr:colOff>120651</xdr:colOff>
      <xdr:row>54</xdr:row>
      <xdr:rowOff>133350</xdr:rowOff>
    </xdr:to>
    <xdr:sp macro="" textlink="">
      <xdr:nvSpPr>
        <xdr:cNvPr id="22" name="Flowchart: Process 21">
          <a:extLst>
            <a:ext uri="{FF2B5EF4-FFF2-40B4-BE49-F238E27FC236}">
              <a16:creationId xmlns:a16="http://schemas.microsoft.com/office/drawing/2014/main" id="{00000000-0008-0000-0400-000016000000}"/>
            </a:ext>
          </a:extLst>
        </xdr:cNvPr>
        <xdr:cNvSpPr/>
      </xdr:nvSpPr>
      <xdr:spPr>
        <a:xfrm>
          <a:off x="175602" y="7876951"/>
          <a:ext cx="3628049" cy="828899"/>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effectLst/>
              <a:latin typeface="+mn-lt"/>
              <a:ea typeface="+mn-ea"/>
              <a:cs typeface="+mn-cs"/>
            </a:rPr>
            <a:t>For each benchmark category (electrical, thermal, water): compare user's plant performance against modified benchmark plant performance and rank each category as poor, fair or good performance.</a:t>
          </a:r>
          <a:endParaRPr lang="en-AU">
            <a:solidFill>
              <a:sysClr val="windowText" lastClr="000000"/>
            </a:solidFill>
            <a:effectLst/>
          </a:endParaRPr>
        </a:p>
      </xdr:txBody>
    </xdr:sp>
    <xdr:clientData/>
  </xdr:twoCellAnchor>
  <xdr:twoCellAnchor>
    <xdr:from>
      <xdr:col>3</xdr:col>
      <xdr:colOff>148127</xdr:colOff>
      <xdr:row>54</xdr:row>
      <xdr:rowOff>129633</xdr:rowOff>
    </xdr:from>
    <xdr:to>
      <xdr:col>10</xdr:col>
      <xdr:colOff>463022</xdr:colOff>
      <xdr:row>54</xdr:row>
      <xdr:rowOff>133350</xdr:rowOff>
    </xdr:to>
    <xdr:cxnSp macro="">
      <xdr:nvCxnSpPr>
        <xdr:cNvPr id="23" name="Elbow Connector 22">
          <a:extLst>
            <a:ext uri="{FF2B5EF4-FFF2-40B4-BE49-F238E27FC236}">
              <a16:creationId xmlns:a16="http://schemas.microsoft.com/office/drawing/2014/main" id="{00000000-0008-0000-0400-000017000000}"/>
            </a:ext>
          </a:extLst>
        </xdr:cNvPr>
        <xdr:cNvCxnSpPr>
          <a:stCxn id="22" idx="2"/>
          <a:endCxn id="25" idx="4"/>
        </xdr:cNvCxnSpPr>
      </xdr:nvCxnSpPr>
      <xdr:spPr>
        <a:xfrm rot="5400000" flipH="1" flipV="1">
          <a:off x="4293632" y="6398128"/>
          <a:ext cx="3717" cy="4611728"/>
        </a:xfrm>
        <a:prstGeom prst="bentConnector3">
          <a:avLst>
            <a:gd name="adj1" fmla="val -6150121"/>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7</xdr:col>
      <xdr:colOff>112681</xdr:colOff>
      <xdr:row>41</xdr:row>
      <xdr:rowOff>66958</xdr:rowOff>
    </xdr:from>
    <xdr:to>
      <xdr:col>14</xdr:col>
      <xdr:colOff>199527</xdr:colOff>
      <xdr:row>48</xdr:row>
      <xdr:rowOff>57432</xdr:rowOff>
    </xdr:to>
    <xdr:sp macro="" textlink="">
      <xdr:nvSpPr>
        <xdr:cNvPr id="24" name="Flowchart: Process 23">
          <a:extLst>
            <a:ext uri="{FF2B5EF4-FFF2-40B4-BE49-F238E27FC236}">
              <a16:creationId xmlns:a16="http://schemas.microsoft.com/office/drawing/2014/main" id="{00000000-0008-0000-0400-000018000000}"/>
            </a:ext>
          </a:extLst>
        </xdr:cNvPr>
        <xdr:cNvSpPr/>
      </xdr:nvSpPr>
      <xdr:spPr>
        <a:xfrm>
          <a:off x="4409514" y="6575708"/>
          <a:ext cx="4383680" cy="1101724"/>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For each benchmark category, place the plant on the performance pyramid. Performance in each benchmark category determines the progression of the plant up the performance pyramid for that category. T</a:t>
          </a:r>
          <a:r>
            <a:rPr lang="en-AU" sz="1100" baseline="0">
              <a:solidFill>
                <a:sysClr val="windowText" lastClr="000000"/>
              </a:solidFill>
              <a:effectLst/>
              <a:latin typeface="+mn-lt"/>
              <a:ea typeface="+mn-ea"/>
              <a:cs typeface="+mn-cs"/>
            </a:rPr>
            <a:t>hat progression </a:t>
          </a:r>
          <a:r>
            <a:rPr lang="en-AU" sz="1100" baseline="0">
              <a:solidFill>
                <a:sysClr val="windowText" lastClr="000000"/>
              </a:solidFill>
            </a:rPr>
            <a:t>determines which improvement opportunities are screened: good performance screens out basic opportunities and vice-versa.</a:t>
          </a:r>
          <a:endParaRPr lang="en-AU" sz="1100">
            <a:solidFill>
              <a:sysClr val="windowText" lastClr="000000"/>
            </a:solidFill>
          </a:endParaRPr>
        </a:p>
      </xdr:txBody>
    </xdr:sp>
    <xdr:clientData/>
  </xdr:twoCellAnchor>
  <xdr:twoCellAnchor>
    <xdr:from>
      <xdr:col>7</xdr:col>
      <xdr:colOff>298980</xdr:colOff>
      <xdr:row>51</xdr:row>
      <xdr:rowOff>7327</xdr:rowOff>
    </xdr:from>
    <xdr:to>
      <xdr:col>14</xdr:col>
      <xdr:colOff>13229</xdr:colOff>
      <xdr:row>54</xdr:row>
      <xdr:rowOff>129633</xdr:rowOff>
    </xdr:to>
    <xdr:sp macro="" textlink="">
      <xdr:nvSpPr>
        <xdr:cNvPr id="25" name="Flowchart: Data 24">
          <a:extLst>
            <a:ext uri="{FF2B5EF4-FFF2-40B4-BE49-F238E27FC236}">
              <a16:creationId xmlns:a16="http://schemas.microsoft.com/office/drawing/2014/main" id="{00000000-0008-0000-0400-000019000000}"/>
            </a:ext>
          </a:extLst>
        </xdr:cNvPr>
        <xdr:cNvSpPr/>
      </xdr:nvSpPr>
      <xdr:spPr>
        <a:xfrm>
          <a:off x="4595813" y="8103577"/>
          <a:ext cx="4011083" cy="598556"/>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Import the </a:t>
          </a:r>
          <a:r>
            <a:rPr lang="en-AU" sz="1100" i="1">
              <a:solidFill>
                <a:sysClr val="windowText" lastClr="000000"/>
              </a:solidFill>
            </a:rPr>
            <a:t>performance </a:t>
          </a:r>
          <a:r>
            <a:rPr lang="en-AU" sz="1100" i="1" baseline="0">
              <a:solidFill>
                <a:sysClr val="windowText" lastClr="000000"/>
              </a:solidFill>
            </a:rPr>
            <a:t>pyramid </a:t>
          </a:r>
          <a:r>
            <a:rPr lang="en-AU" sz="1100" baseline="0">
              <a:solidFill>
                <a:sysClr val="windowText" lastClr="000000"/>
              </a:solidFill>
            </a:rPr>
            <a:t>and the </a:t>
          </a:r>
          <a:r>
            <a:rPr lang="en-AU" sz="1100" i="1" baseline="0">
              <a:solidFill>
                <a:sysClr val="windowText" lastClr="000000"/>
              </a:solidFill>
            </a:rPr>
            <a:t>improvement opportunities </a:t>
          </a:r>
          <a:r>
            <a:rPr lang="en-AU" sz="1100" baseline="0">
              <a:solidFill>
                <a:sysClr val="windowText" lastClr="000000"/>
              </a:solidFill>
            </a:rPr>
            <a:t>library.</a:t>
          </a:r>
          <a:endParaRPr lang="en-AU" sz="1100">
            <a:solidFill>
              <a:sysClr val="windowText" lastClr="000000"/>
            </a:solidFill>
          </a:endParaRPr>
        </a:p>
      </xdr:txBody>
    </xdr:sp>
    <xdr:clientData/>
  </xdr:twoCellAnchor>
  <xdr:twoCellAnchor>
    <xdr:from>
      <xdr:col>8</xdr:col>
      <xdr:colOff>39844</xdr:colOff>
      <xdr:row>35</xdr:row>
      <xdr:rowOff>33942</xdr:rowOff>
    </xdr:from>
    <xdr:to>
      <xdr:col>13</xdr:col>
      <xdr:colOff>268444</xdr:colOff>
      <xdr:row>38</xdr:row>
      <xdr:rowOff>151205</xdr:rowOff>
    </xdr:to>
    <xdr:sp macro="" textlink="">
      <xdr:nvSpPr>
        <xdr:cNvPr id="26" name="Flowchart: Data 25">
          <a:extLst>
            <a:ext uri="{FF2B5EF4-FFF2-40B4-BE49-F238E27FC236}">
              <a16:creationId xmlns:a16="http://schemas.microsoft.com/office/drawing/2014/main" id="{00000000-0008-0000-0400-00001A000000}"/>
            </a:ext>
          </a:extLst>
        </xdr:cNvPr>
        <xdr:cNvSpPr/>
      </xdr:nvSpPr>
      <xdr:spPr>
        <a:xfrm>
          <a:off x="4950511" y="5590192"/>
          <a:ext cx="3297766" cy="593513"/>
        </a:xfrm>
        <a:prstGeom prst="flowChartInputOutput">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Import </a:t>
          </a:r>
          <a:r>
            <a:rPr lang="en-AU" sz="1100" i="1" baseline="0">
              <a:solidFill>
                <a:sysClr val="windowText" lastClr="000000"/>
              </a:solidFill>
            </a:rPr>
            <a:t>default cost figures </a:t>
          </a:r>
          <a:r>
            <a:rPr lang="en-AU" sz="1100" baseline="0">
              <a:solidFill>
                <a:sysClr val="windowText" lastClr="000000"/>
              </a:solidFill>
            </a:rPr>
            <a:t>and - if entered by the user - read the </a:t>
          </a:r>
          <a:r>
            <a:rPr lang="en-AU" sz="1100" i="1" baseline="0">
              <a:solidFill>
                <a:sysClr val="windowText" lastClr="000000"/>
              </a:solidFill>
            </a:rPr>
            <a:t>user's cost data</a:t>
          </a:r>
          <a:r>
            <a:rPr lang="en-AU" sz="1100" baseline="0">
              <a:solidFill>
                <a:sysClr val="windowText" lastClr="000000"/>
              </a:solidFill>
            </a:rPr>
            <a:t>.</a:t>
          </a:r>
        </a:p>
      </xdr:txBody>
    </xdr:sp>
    <xdr:clientData/>
  </xdr:twoCellAnchor>
  <xdr:twoCellAnchor>
    <xdr:from>
      <xdr:col>10</xdr:col>
      <xdr:colOff>461062</xdr:colOff>
      <xdr:row>38</xdr:row>
      <xdr:rowOff>151205</xdr:rowOff>
    </xdr:from>
    <xdr:to>
      <xdr:col>10</xdr:col>
      <xdr:colOff>463022</xdr:colOff>
      <xdr:row>41</xdr:row>
      <xdr:rowOff>66958</xdr:rowOff>
    </xdr:to>
    <xdr:cxnSp macro="">
      <xdr:nvCxnSpPr>
        <xdr:cNvPr id="27" name="Elbow Connector 26">
          <a:extLst>
            <a:ext uri="{FF2B5EF4-FFF2-40B4-BE49-F238E27FC236}">
              <a16:creationId xmlns:a16="http://schemas.microsoft.com/office/drawing/2014/main" id="{00000000-0008-0000-0400-00001B000000}"/>
            </a:ext>
          </a:extLst>
        </xdr:cNvPr>
        <xdr:cNvCxnSpPr>
          <a:stCxn id="24" idx="0"/>
          <a:endCxn id="26" idx="4"/>
        </xdr:cNvCxnSpPr>
      </xdr:nvCxnSpPr>
      <xdr:spPr>
        <a:xfrm rot="16200000" flipV="1">
          <a:off x="6404373" y="6378727"/>
          <a:ext cx="392003" cy="196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7</xdr:col>
      <xdr:colOff>433107</xdr:colOff>
      <xdr:row>18</xdr:row>
      <xdr:rowOff>112059</xdr:rowOff>
    </xdr:from>
    <xdr:to>
      <xdr:col>13</xdr:col>
      <xdr:colOff>490258</xdr:colOff>
      <xdr:row>24</xdr:row>
      <xdr:rowOff>58553</xdr:rowOff>
    </xdr:to>
    <xdr:sp macro="" textlink="">
      <xdr:nvSpPr>
        <xdr:cNvPr id="28" name="Flowchart: Process 27">
          <a:extLst>
            <a:ext uri="{FF2B5EF4-FFF2-40B4-BE49-F238E27FC236}">
              <a16:creationId xmlns:a16="http://schemas.microsoft.com/office/drawing/2014/main" id="{00000000-0008-0000-0400-00001C000000}"/>
            </a:ext>
          </a:extLst>
        </xdr:cNvPr>
        <xdr:cNvSpPr/>
      </xdr:nvSpPr>
      <xdr:spPr>
        <a:xfrm>
          <a:off x="4668931" y="2935941"/>
          <a:ext cx="3687856" cy="887788"/>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Present benchmarking results and quantified improvement opportunities to the user. The top 4 opportunities for each benchmark category that save the most cost per annum overall are presented to the user.</a:t>
          </a:r>
          <a:endParaRPr lang="en-AU" sz="1100">
            <a:solidFill>
              <a:sysClr val="windowText" lastClr="000000"/>
            </a:solidFill>
          </a:endParaRPr>
        </a:p>
      </xdr:txBody>
    </xdr:sp>
    <xdr:clientData/>
  </xdr:twoCellAnchor>
  <xdr:twoCellAnchor>
    <xdr:from>
      <xdr:col>10</xdr:col>
      <xdr:colOff>459442</xdr:colOff>
      <xdr:row>24</xdr:row>
      <xdr:rowOff>58554</xdr:rowOff>
    </xdr:from>
    <xdr:to>
      <xdr:col>10</xdr:col>
      <xdr:colOff>461683</xdr:colOff>
      <xdr:row>26</xdr:row>
      <xdr:rowOff>126716</xdr:rowOff>
    </xdr:to>
    <xdr:cxnSp macro="">
      <xdr:nvCxnSpPr>
        <xdr:cNvPr id="29" name="Elbow Connector 28">
          <a:extLst>
            <a:ext uri="{FF2B5EF4-FFF2-40B4-BE49-F238E27FC236}">
              <a16:creationId xmlns:a16="http://schemas.microsoft.com/office/drawing/2014/main" id="{00000000-0008-0000-0400-00001D000000}"/>
            </a:ext>
          </a:extLst>
        </xdr:cNvPr>
        <xdr:cNvCxnSpPr>
          <a:stCxn id="18" idx="0"/>
          <a:endCxn id="28" idx="2"/>
        </xdr:cNvCxnSpPr>
      </xdr:nvCxnSpPr>
      <xdr:spPr>
        <a:xfrm rot="5400000" flipH="1" flipV="1">
          <a:off x="6320775" y="4013573"/>
          <a:ext cx="381927" cy="2241"/>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10</xdr:col>
      <xdr:colOff>459360</xdr:colOff>
      <xdr:row>16</xdr:row>
      <xdr:rowOff>56115</xdr:rowOff>
    </xdr:from>
    <xdr:to>
      <xdr:col>10</xdr:col>
      <xdr:colOff>461683</xdr:colOff>
      <xdr:row>18</xdr:row>
      <xdr:rowOff>112059</xdr:rowOff>
    </xdr:to>
    <xdr:cxnSp macro="">
      <xdr:nvCxnSpPr>
        <xdr:cNvPr id="30" name="Elbow Connector 29">
          <a:extLst>
            <a:ext uri="{FF2B5EF4-FFF2-40B4-BE49-F238E27FC236}">
              <a16:creationId xmlns:a16="http://schemas.microsoft.com/office/drawing/2014/main" id="{00000000-0008-0000-0400-00001E000000}"/>
            </a:ext>
          </a:extLst>
        </xdr:cNvPr>
        <xdr:cNvCxnSpPr>
          <a:stCxn id="28" idx="0"/>
          <a:endCxn id="32" idx="2"/>
        </xdr:cNvCxnSpPr>
      </xdr:nvCxnSpPr>
      <xdr:spPr>
        <a:xfrm rot="16200000" flipV="1">
          <a:off x="6412133" y="2781675"/>
          <a:ext cx="373444" cy="2323"/>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9</xdr:col>
      <xdr:colOff>573328</xdr:colOff>
      <xdr:row>7</xdr:row>
      <xdr:rowOff>5523</xdr:rowOff>
    </xdr:from>
    <xdr:to>
      <xdr:col>11</xdr:col>
      <xdr:colOff>347450</xdr:colOff>
      <xdr:row>9</xdr:row>
      <xdr:rowOff>62672</xdr:rowOff>
    </xdr:to>
    <xdr:sp macro="" textlink="">
      <xdr:nvSpPr>
        <xdr:cNvPr id="31" name="Flowchart: Terminator 30">
          <a:extLst>
            <a:ext uri="{FF2B5EF4-FFF2-40B4-BE49-F238E27FC236}">
              <a16:creationId xmlns:a16="http://schemas.microsoft.com/office/drawing/2014/main" id="{00000000-0008-0000-0400-00001F000000}"/>
            </a:ext>
          </a:extLst>
        </xdr:cNvPr>
        <xdr:cNvSpPr/>
      </xdr:nvSpPr>
      <xdr:spPr>
        <a:xfrm>
          <a:off x="6097828" y="1116773"/>
          <a:ext cx="1001789" cy="374649"/>
        </a:xfrm>
        <a:prstGeom prst="flowChartTerminator">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a:solidFill>
                <a:sysClr val="windowText" lastClr="000000"/>
              </a:solidFill>
            </a:rPr>
            <a:t>End</a:t>
          </a:r>
        </a:p>
      </xdr:txBody>
    </xdr:sp>
    <xdr:clientData/>
  </xdr:twoCellAnchor>
  <xdr:twoCellAnchor>
    <xdr:from>
      <xdr:col>9</xdr:col>
      <xdr:colOff>252455</xdr:colOff>
      <xdr:row>11</xdr:row>
      <xdr:rowOff>108502</xdr:rowOff>
    </xdr:from>
    <xdr:to>
      <xdr:col>12</xdr:col>
      <xdr:colOff>52430</xdr:colOff>
      <xdr:row>16</xdr:row>
      <xdr:rowOff>56115</xdr:rowOff>
    </xdr:to>
    <xdr:sp macro="" textlink="">
      <xdr:nvSpPr>
        <xdr:cNvPr id="32" name="Flowchart: Process 31">
          <a:extLst>
            <a:ext uri="{FF2B5EF4-FFF2-40B4-BE49-F238E27FC236}">
              <a16:creationId xmlns:a16="http://schemas.microsoft.com/office/drawing/2014/main" id="{00000000-0008-0000-0400-000020000000}"/>
            </a:ext>
          </a:extLst>
        </xdr:cNvPr>
        <xdr:cNvSpPr/>
      </xdr:nvSpPr>
      <xdr:spPr>
        <a:xfrm>
          <a:off x="5776955" y="1854752"/>
          <a:ext cx="1641475" cy="741363"/>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Present final output sheet to User</a:t>
          </a:r>
          <a:endParaRPr lang="en-AU" sz="1100">
            <a:solidFill>
              <a:sysClr val="windowText" lastClr="000000"/>
            </a:solidFill>
          </a:endParaRPr>
        </a:p>
      </xdr:txBody>
    </xdr:sp>
    <xdr:clientData/>
  </xdr:twoCellAnchor>
  <xdr:twoCellAnchor>
    <xdr:from>
      <xdr:col>10</xdr:col>
      <xdr:colOff>459360</xdr:colOff>
      <xdr:row>9</xdr:row>
      <xdr:rowOff>62672</xdr:rowOff>
    </xdr:from>
    <xdr:to>
      <xdr:col>10</xdr:col>
      <xdr:colOff>460390</xdr:colOff>
      <xdr:row>11</xdr:row>
      <xdr:rowOff>108502</xdr:rowOff>
    </xdr:to>
    <xdr:cxnSp macro="">
      <xdr:nvCxnSpPr>
        <xdr:cNvPr id="33" name="Elbow Connector 32">
          <a:extLst>
            <a:ext uri="{FF2B5EF4-FFF2-40B4-BE49-F238E27FC236}">
              <a16:creationId xmlns:a16="http://schemas.microsoft.com/office/drawing/2014/main" id="{00000000-0008-0000-0400-000021000000}"/>
            </a:ext>
          </a:extLst>
        </xdr:cNvPr>
        <xdr:cNvCxnSpPr>
          <a:stCxn id="32" idx="0"/>
          <a:endCxn id="31" idx="2"/>
        </xdr:cNvCxnSpPr>
      </xdr:nvCxnSpPr>
      <xdr:spPr>
        <a:xfrm rot="5400000" flipH="1" flipV="1">
          <a:off x="6416543" y="1672572"/>
          <a:ext cx="363330" cy="1030"/>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twoCellAnchor>
    <xdr:from>
      <xdr:col>1</xdr:col>
      <xdr:colOff>383720</xdr:colOff>
      <xdr:row>42</xdr:row>
      <xdr:rowOff>103073</xdr:rowOff>
    </xdr:from>
    <xdr:to>
      <xdr:col>4</xdr:col>
      <xdr:colOff>533400</xdr:colOff>
      <xdr:row>47</xdr:row>
      <xdr:rowOff>55449</xdr:rowOff>
    </xdr:to>
    <xdr:sp macro="" textlink="">
      <xdr:nvSpPr>
        <xdr:cNvPr id="34" name="Flowchart: Process 33">
          <a:extLst>
            <a:ext uri="{FF2B5EF4-FFF2-40B4-BE49-F238E27FC236}">
              <a16:creationId xmlns:a16="http://schemas.microsoft.com/office/drawing/2014/main" id="{00000000-0008-0000-0400-000022000000}"/>
            </a:ext>
          </a:extLst>
        </xdr:cNvPr>
        <xdr:cNvSpPr/>
      </xdr:nvSpPr>
      <xdr:spPr>
        <a:xfrm>
          <a:off x="997553" y="6770573"/>
          <a:ext cx="1991180" cy="746126"/>
        </a:xfrm>
        <a:prstGeom prst="flowChartProcess">
          <a:avLst/>
        </a:prstGeom>
        <a:ln>
          <a:solidFill>
            <a:sysClr val="windowText" lastClr="000000"/>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AU" sz="1100" baseline="0">
              <a:solidFill>
                <a:sysClr val="windowText" lastClr="000000"/>
              </a:solidFill>
            </a:rPr>
            <a:t>Further modify the benchmark plant based on user's production capacity and predominant species.</a:t>
          </a:r>
          <a:endParaRPr lang="en-AU" sz="1100">
            <a:solidFill>
              <a:sysClr val="windowText" lastClr="000000"/>
            </a:solidFill>
          </a:endParaRPr>
        </a:p>
      </xdr:txBody>
    </xdr:sp>
    <xdr:clientData/>
  </xdr:twoCellAnchor>
  <xdr:twoCellAnchor>
    <xdr:from>
      <xdr:col>3</xdr:col>
      <xdr:colOff>148127</xdr:colOff>
      <xdr:row>47</xdr:row>
      <xdr:rowOff>55449</xdr:rowOff>
    </xdr:from>
    <xdr:to>
      <xdr:col>3</xdr:col>
      <xdr:colOff>151643</xdr:colOff>
      <xdr:row>49</xdr:row>
      <xdr:rowOff>98201</xdr:rowOff>
    </xdr:to>
    <xdr:cxnSp macro="">
      <xdr:nvCxnSpPr>
        <xdr:cNvPr id="35" name="Elbow Connector 34">
          <a:extLst>
            <a:ext uri="{FF2B5EF4-FFF2-40B4-BE49-F238E27FC236}">
              <a16:creationId xmlns:a16="http://schemas.microsoft.com/office/drawing/2014/main" id="{00000000-0008-0000-0400-000023000000}"/>
            </a:ext>
          </a:extLst>
        </xdr:cNvPr>
        <xdr:cNvCxnSpPr>
          <a:stCxn id="34" idx="2"/>
          <a:endCxn id="22" idx="0"/>
        </xdr:cNvCxnSpPr>
      </xdr:nvCxnSpPr>
      <xdr:spPr>
        <a:xfrm rot="5400000">
          <a:off x="1811259" y="7695067"/>
          <a:ext cx="360252" cy="3516"/>
        </a:xfrm>
        <a:prstGeom prst="bentConnector3">
          <a:avLst>
            <a:gd name="adj1" fmla="val 50000"/>
          </a:avLst>
        </a:prstGeom>
        <a:ln>
          <a:solidFill>
            <a:sysClr val="windowText" lastClr="000000"/>
          </a:solidFill>
          <a:tailEnd type="arrow"/>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161925</xdr:colOff>
      <xdr:row>6</xdr:row>
      <xdr:rowOff>66675</xdr:rowOff>
    </xdr:from>
    <xdr:to>
      <xdr:col>5</xdr:col>
      <xdr:colOff>790575</xdr:colOff>
      <xdr:row>8</xdr:row>
      <xdr:rowOff>133349</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381125" y="714375"/>
          <a:ext cx="2752725" cy="390524"/>
        </a:xfrm>
        <a:prstGeom prst="rect">
          <a:avLst/>
        </a:prstGeom>
        <a:solidFill>
          <a:srgbClr val="FFFF00">
            <a:alpha val="3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t>comments or actions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438150</xdr:colOff>
      <xdr:row>16</xdr:row>
      <xdr:rowOff>123825</xdr:rowOff>
    </xdr:from>
    <xdr:to>
      <xdr:col>11</xdr:col>
      <xdr:colOff>180169</xdr:colOff>
      <xdr:row>28</xdr:row>
      <xdr:rowOff>133008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38150" y="2819400"/>
          <a:ext cx="6447619" cy="2733333"/>
        </a:xfrm>
        <a:prstGeom prst="rect">
          <a:avLst/>
        </a:prstGeom>
      </xdr:spPr>
    </xdr:pic>
    <xdr:clientData/>
  </xdr:twoCellAnchor>
  <xdr:twoCellAnchor editAs="oneCell">
    <xdr:from>
      <xdr:col>1</xdr:col>
      <xdr:colOff>590550</xdr:colOff>
      <xdr:row>31</xdr:row>
      <xdr:rowOff>47625</xdr:rowOff>
    </xdr:from>
    <xdr:to>
      <xdr:col>11</xdr:col>
      <xdr:colOff>114300</xdr:colOff>
      <xdr:row>40</xdr:row>
      <xdr:rowOff>142875</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5953125"/>
          <a:ext cx="56197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590550</xdr:colOff>
      <xdr:row>42</xdr:row>
      <xdr:rowOff>66675</xdr:rowOff>
    </xdr:from>
    <xdr:to>
      <xdr:col>11</xdr:col>
      <xdr:colOff>123825</xdr:colOff>
      <xdr:row>54</xdr:row>
      <xdr:rowOff>19050</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8039100"/>
          <a:ext cx="5629275" cy="283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123825</xdr:colOff>
      <xdr:row>51</xdr:row>
      <xdr:rowOff>20707</xdr:rowOff>
    </xdr:from>
    <xdr:to>
      <xdr:col>29</xdr:col>
      <xdr:colOff>255815</xdr:colOff>
      <xdr:row>58</xdr:row>
      <xdr:rowOff>63569</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36</xdr:col>
      <xdr:colOff>0</xdr:colOff>
      <xdr:row>51</xdr:row>
      <xdr:rowOff>85726</xdr:rowOff>
    </xdr:from>
    <xdr:to>
      <xdr:col>52</xdr:col>
      <xdr:colOff>451757</xdr:colOff>
      <xdr:row>58</xdr:row>
      <xdr:rowOff>128588</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31</xdr:col>
      <xdr:colOff>25854</xdr:colOff>
      <xdr:row>74</xdr:row>
      <xdr:rowOff>228600</xdr:rowOff>
    </xdr:from>
    <xdr:to>
      <xdr:col>34</xdr:col>
      <xdr:colOff>657226</xdr:colOff>
      <xdr:row>93</xdr:row>
      <xdr:rowOff>19050</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806824</xdr:colOff>
      <xdr:row>13</xdr:row>
      <xdr:rowOff>33617</xdr:rowOff>
    </xdr:from>
    <xdr:to>
      <xdr:col>15</xdr:col>
      <xdr:colOff>100853</xdr:colOff>
      <xdr:row>15</xdr:row>
      <xdr:rowOff>123264</xdr:rowOff>
    </xdr:to>
    <xdr:sp macro="" textlink="">
      <xdr:nvSpPr>
        <xdr:cNvPr id="13" name="Right Arrow 12">
          <a:extLst>
            <a:ext uri="{FF2B5EF4-FFF2-40B4-BE49-F238E27FC236}">
              <a16:creationId xmlns:a16="http://schemas.microsoft.com/office/drawing/2014/main" id="{00000000-0008-0000-0600-00000D000000}"/>
            </a:ext>
          </a:extLst>
        </xdr:cNvPr>
        <xdr:cNvSpPr/>
      </xdr:nvSpPr>
      <xdr:spPr>
        <a:xfrm>
          <a:off x="9368118" y="2185146"/>
          <a:ext cx="2106706" cy="40341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scroll</a:t>
          </a:r>
          <a:r>
            <a:rPr lang="en-AU" sz="1100" baseline="0"/>
            <a:t> right for no rendering</a:t>
          </a:r>
          <a:endParaRPr lang="en-AU" sz="1100"/>
        </a:p>
      </xdr:txBody>
    </xdr:sp>
    <xdr:clientData/>
  </xdr:twoCellAnchor>
  <xdr:twoCellAnchor>
    <xdr:from>
      <xdr:col>16</xdr:col>
      <xdr:colOff>273424</xdr:colOff>
      <xdr:row>64</xdr:row>
      <xdr:rowOff>24092</xdr:rowOff>
    </xdr:from>
    <xdr:to>
      <xdr:col>19</xdr:col>
      <xdr:colOff>148478</xdr:colOff>
      <xdr:row>66</xdr:row>
      <xdr:rowOff>113739</xdr:rowOff>
    </xdr:to>
    <xdr:sp macro="" textlink="">
      <xdr:nvSpPr>
        <xdr:cNvPr id="14" name="Right Arrow 13">
          <a:extLst>
            <a:ext uri="{FF2B5EF4-FFF2-40B4-BE49-F238E27FC236}">
              <a16:creationId xmlns:a16="http://schemas.microsoft.com/office/drawing/2014/main" id="{00000000-0008-0000-0600-00000E000000}"/>
            </a:ext>
          </a:extLst>
        </xdr:cNvPr>
        <xdr:cNvSpPr/>
      </xdr:nvSpPr>
      <xdr:spPr>
        <a:xfrm>
          <a:off x="12446374" y="12501842"/>
          <a:ext cx="2103904" cy="4134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scroll</a:t>
          </a:r>
          <a:r>
            <a:rPr lang="en-AU" sz="1100" baseline="0"/>
            <a:t> right for no rendering</a:t>
          </a:r>
          <a:endParaRPr lang="en-AU" sz="1100"/>
        </a:p>
      </xdr:txBody>
    </xdr:sp>
    <xdr:clientData/>
  </xdr:twoCellAnchor>
  <xdr:twoCellAnchor>
    <xdr:from>
      <xdr:col>39</xdr:col>
      <xdr:colOff>73399</xdr:colOff>
      <xdr:row>64</xdr:row>
      <xdr:rowOff>24092</xdr:rowOff>
    </xdr:from>
    <xdr:to>
      <xdr:col>41</xdr:col>
      <xdr:colOff>691403</xdr:colOff>
      <xdr:row>66</xdr:row>
      <xdr:rowOff>113739</xdr:rowOff>
    </xdr:to>
    <xdr:sp macro="" textlink="">
      <xdr:nvSpPr>
        <xdr:cNvPr id="16" name="Left Arrow 15">
          <a:extLst>
            <a:ext uri="{FF2B5EF4-FFF2-40B4-BE49-F238E27FC236}">
              <a16:creationId xmlns:a16="http://schemas.microsoft.com/office/drawing/2014/main" id="{00000000-0008-0000-0600-000010000000}"/>
            </a:ext>
          </a:extLst>
        </xdr:cNvPr>
        <xdr:cNvSpPr/>
      </xdr:nvSpPr>
      <xdr:spPr>
        <a:xfrm>
          <a:off x="33010849" y="12501842"/>
          <a:ext cx="2103904" cy="41349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scroll</a:t>
          </a:r>
          <a:r>
            <a:rPr lang="en-AU" sz="1100" baseline="0"/>
            <a:t> left for rendering</a:t>
          </a:r>
          <a:endParaRPr lang="en-AU" sz="1100"/>
        </a:p>
      </xdr:txBody>
    </xdr:sp>
    <xdr:clientData/>
  </xdr:twoCellAnchor>
  <xdr:twoCellAnchor editAs="absolute">
    <xdr:from>
      <xdr:col>57</xdr:col>
      <xdr:colOff>254454</xdr:colOff>
      <xdr:row>74</xdr:row>
      <xdr:rowOff>228600</xdr:rowOff>
    </xdr:from>
    <xdr:to>
      <xdr:col>64</xdr:col>
      <xdr:colOff>104775</xdr:colOff>
      <xdr:row>93</xdr:row>
      <xdr:rowOff>19050</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66675</xdr:colOff>
      <xdr:row>99</xdr:row>
      <xdr:rowOff>28576</xdr:rowOff>
    </xdr:from>
    <xdr:to>
      <xdr:col>19</xdr:col>
      <xdr:colOff>297411</xdr:colOff>
      <xdr:row>103</xdr:row>
      <xdr:rowOff>85618</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8"/>
        <a:stretch>
          <a:fillRect/>
        </a:stretch>
      </xdr:blipFill>
      <xdr:spPr>
        <a:xfrm>
          <a:off x="8686800" y="21736051"/>
          <a:ext cx="4676190" cy="866667"/>
        </a:xfrm>
        <a:prstGeom prst="rect">
          <a:avLst/>
        </a:prstGeom>
      </xdr:spPr>
    </xdr:pic>
    <xdr:clientData/>
  </xdr:twoCellAnchor>
  <xdr:twoCellAnchor editAs="oneCell">
    <xdr:from>
      <xdr:col>12</xdr:col>
      <xdr:colOff>1028700</xdr:colOff>
      <xdr:row>109</xdr:row>
      <xdr:rowOff>65517</xdr:rowOff>
    </xdr:from>
    <xdr:to>
      <xdr:col>19</xdr:col>
      <xdr:colOff>249371</xdr:colOff>
      <xdr:row>124</xdr:row>
      <xdr:rowOff>75614</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9"/>
        <a:stretch>
          <a:fillRect/>
        </a:stretch>
      </xdr:blipFill>
      <xdr:spPr>
        <a:xfrm>
          <a:off x="8343900" y="23392242"/>
          <a:ext cx="4971050" cy="2905697"/>
        </a:xfrm>
        <a:prstGeom prst="rect">
          <a:avLst/>
        </a:prstGeom>
      </xdr:spPr>
    </xdr:pic>
    <xdr:clientData/>
  </xdr:twoCellAnchor>
  <xdr:twoCellAnchor>
    <xdr:from>
      <xdr:col>34</xdr:col>
      <xdr:colOff>178174</xdr:colOff>
      <xdr:row>13</xdr:row>
      <xdr:rowOff>14567</xdr:rowOff>
    </xdr:from>
    <xdr:to>
      <xdr:col>35</xdr:col>
      <xdr:colOff>1120028</xdr:colOff>
      <xdr:row>15</xdr:row>
      <xdr:rowOff>104214</xdr:rowOff>
    </xdr:to>
    <xdr:sp macro="" textlink="">
      <xdr:nvSpPr>
        <xdr:cNvPr id="24" name="Left Arrow 23">
          <a:extLst>
            <a:ext uri="{FF2B5EF4-FFF2-40B4-BE49-F238E27FC236}">
              <a16:creationId xmlns:a16="http://schemas.microsoft.com/office/drawing/2014/main" id="{00000000-0008-0000-0600-000018000000}"/>
            </a:ext>
          </a:extLst>
        </xdr:cNvPr>
        <xdr:cNvSpPr/>
      </xdr:nvSpPr>
      <xdr:spPr>
        <a:xfrm>
          <a:off x="27381574" y="2224367"/>
          <a:ext cx="2103904" cy="41349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scroll</a:t>
          </a:r>
          <a:r>
            <a:rPr lang="en-AU" sz="1100" baseline="0"/>
            <a:t> left for rendering</a:t>
          </a:r>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14</xdr:row>
      <xdr:rowOff>0</xdr:rowOff>
    </xdr:from>
    <xdr:to>
      <xdr:col>7</xdr:col>
      <xdr:colOff>442378</xdr:colOff>
      <xdr:row>52</xdr:row>
      <xdr:rowOff>95250</xdr:rowOff>
    </xdr:to>
    <xdr:grpSp>
      <xdr:nvGrpSpPr>
        <xdr:cNvPr id="5" name="Group 4">
          <a:extLst>
            <a:ext uri="{FF2B5EF4-FFF2-40B4-BE49-F238E27FC236}">
              <a16:creationId xmlns:a16="http://schemas.microsoft.com/office/drawing/2014/main" id="{00000000-0008-0000-0700-000005000000}"/>
            </a:ext>
          </a:extLst>
        </xdr:cNvPr>
        <xdr:cNvGrpSpPr/>
      </xdr:nvGrpSpPr>
      <xdr:grpSpPr>
        <a:xfrm>
          <a:off x="180975" y="2330450"/>
          <a:ext cx="6801903" cy="9093200"/>
          <a:chOff x="0" y="1885950"/>
          <a:chExt cx="6514286" cy="9344025"/>
        </a:xfrm>
      </xdr:grpSpPr>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85950"/>
            <a:ext cx="6514286" cy="6628571"/>
          </a:xfrm>
          <a:prstGeom prst="rect">
            <a:avLst/>
          </a:prstGeom>
        </xdr:spPr>
      </xdr:pic>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8420100"/>
            <a:ext cx="6000750" cy="2809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28</xdr:col>
      <xdr:colOff>452157</xdr:colOff>
      <xdr:row>65</xdr:row>
      <xdr:rowOff>58829</xdr:rowOff>
    </xdr:from>
    <xdr:to>
      <xdr:col>34</xdr:col>
      <xdr:colOff>366432</xdr:colOff>
      <xdr:row>76</xdr:row>
      <xdr:rowOff>133349</xdr:rowOff>
    </xdr:to>
    <xdr:graphicFrame macro="">
      <xdr:nvGraphicFramePr>
        <xdr:cNvPr id="11" name="Chart 10">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66675</xdr:colOff>
      <xdr:row>81</xdr:row>
      <xdr:rowOff>28575</xdr:rowOff>
    </xdr:from>
    <xdr:to>
      <xdr:col>17</xdr:col>
      <xdr:colOff>437565</xdr:colOff>
      <xdr:row>86</xdr:row>
      <xdr:rowOff>85618</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stretch>
          <a:fillRect/>
        </a:stretch>
      </xdr:blipFill>
      <xdr:spPr>
        <a:xfrm>
          <a:off x="7048500" y="19240500"/>
          <a:ext cx="4676190" cy="866667"/>
        </a:xfrm>
        <a:prstGeom prst="rect">
          <a:avLst/>
        </a:prstGeom>
      </xdr:spPr>
    </xdr:pic>
    <xdr:clientData/>
  </xdr:twoCellAnchor>
  <xdr:twoCellAnchor editAs="oneCell">
    <xdr:from>
      <xdr:col>12</xdr:col>
      <xdr:colOff>314325</xdr:colOff>
      <xdr:row>90</xdr:row>
      <xdr:rowOff>0</xdr:rowOff>
    </xdr:from>
    <xdr:to>
      <xdr:col>19</xdr:col>
      <xdr:colOff>400050</xdr:colOff>
      <xdr:row>97</xdr:row>
      <xdr:rowOff>120784</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stretch>
          <a:fillRect/>
        </a:stretch>
      </xdr:blipFill>
      <xdr:spPr>
        <a:xfrm>
          <a:off x="7296150" y="20669250"/>
          <a:ext cx="5857875" cy="1254258"/>
        </a:xfrm>
        <a:prstGeom prst="rect">
          <a:avLst/>
        </a:prstGeom>
      </xdr:spPr>
    </xdr:pic>
    <xdr:clientData/>
  </xdr:twoCellAnchor>
  <xdr:twoCellAnchor editAs="oneCell">
    <xdr:from>
      <xdr:col>13</xdr:col>
      <xdr:colOff>1228725</xdr:colOff>
      <xdr:row>42</xdr:row>
      <xdr:rowOff>152399</xdr:rowOff>
    </xdr:from>
    <xdr:to>
      <xdr:col>27</xdr:col>
      <xdr:colOff>104775</xdr:colOff>
      <xdr:row>48</xdr:row>
      <xdr:rowOff>114300</xdr:rowOff>
    </xdr:to>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76199</xdr:colOff>
      <xdr:row>53</xdr:row>
      <xdr:rowOff>123824</xdr:rowOff>
    </xdr:from>
    <xdr:to>
      <xdr:col>8</xdr:col>
      <xdr:colOff>66674</xdr:colOff>
      <xdr:row>68</xdr:row>
      <xdr:rowOff>129224</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84</xdr:row>
      <xdr:rowOff>0</xdr:rowOff>
    </xdr:from>
    <xdr:to>
      <xdr:col>16</xdr:col>
      <xdr:colOff>197541</xdr:colOff>
      <xdr:row>108</xdr:row>
      <xdr:rowOff>85725</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2839700"/>
          <a:ext cx="9515475"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12</xdr:row>
      <xdr:rowOff>142875</xdr:rowOff>
    </xdr:from>
    <xdr:to>
      <xdr:col>6</xdr:col>
      <xdr:colOff>2076450</xdr:colOff>
      <xdr:row>31</xdr:row>
      <xdr:rowOff>95249</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641350" y="4797425"/>
          <a:ext cx="5410200" cy="2968624"/>
          <a:chOff x="609600" y="2209800"/>
          <a:chExt cx="5248275" cy="3028949"/>
        </a:xfrm>
      </xdr:grpSpPr>
      <xdr:graphicFrame macro="">
        <xdr:nvGraphicFramePr>
          <xdr:cNvPr id="2" name="Diagram 1">
            <a:extLst>
              <a:ext uri="{FF2B5EF4-FFF2-40B4-BE49-F238E27FC236}">
                <a16:creationId xmlns:a16="http://schemas.microsoft.com/office/drawing/2014/main" id="{00000000-0008-0000-0900-000002000000}"/>
              </a:ext>
            </a:extLst>
          </xdr:cNvPr>
          <xdr:cNvGraphicFramePr/>
        </xdr:nvGraphicFramePr>
        <xdr:xfrm>
          <a:off x="609600" y="2209800"/>
          <a:ext cx="4425762" cy="2940984"/>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 name="Up-Down Arrow 2">
            <a:extLst>
              <a:ext uri="{FF2B5EF4-FFF2-40B4-BE49-F238E27FC236}">
                <a16:creationId xmlns:a16="http://schemas.microsoft.com/office/drawing/2014/main" id="{00000000-0008-0000-0900-000003000000}"/>
              </a:ext>
            </a:extLst>
          </xdr:cNvPr>
          <xdr:cNvSpPr/>
        </xdr:nvSpPr>
        <xdr:spPr>
          <a:xfrm>
            <a:off x="4648200" y="2276475"/>
            <a:ext cx="609600" cy="1047750"/>
          </a:xfrm>
          <a:prstGeom prst="upDownArrow">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AU" sz="1100">
                <a:solidFill>
                  <a:sysClr val="windowText" lastClr="000000"/>
                </a:solidFill>
              </a:rPr>
              <a:t>Good</a:t>
            </a:r>
          </a:p>
        </xdr:txBody>
      </xdr:sp>
      <xdr:sp macro="" textlink="">
        <xdr:nvSpPr>
          <xdr:cNvPr id="4" name="Up-Down Arrow 3">
            <a:extLst>
              <a:ext uri="{FF2B5EF4-FFF2-40B4-BE49-F238E27FC236}">
                <a16:creationId xmlns:a16="http://schemas.microsoft.com/office/drawing/2014/main" id="{00000000-0008-0000-0900-000004000000}"/>
              </a:ext>
            </a:extLst>
          </xdr:cNvPr>
          <xdr:cNvSpPr/>
        </xdr:nvSpPr>
        <xdr:spPr>
          <a:xfrm>
            <a:off x="4953000" y="3343274"/>
            <a:ext cx="609600" cy="1171575"/>
          </a:xfrm>
          <a:prstGeom prst="upDownArrow">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AU" sz="1100">
                <a:solidFill>
                  <a:sysClr val="windowText" lastClr="000000"/>
                </a:solidFill>
              </a:rPr>
              <a:t>Fair</a:t>
            </a:r>
          </a:p>
        </xdr:txBody>
      </xdr:sp>
      <xdr:sp macro="" textlink="">
        <xdr:nvSpPr>
          <xdr:cNvPr id="5" name="Up-Down Arrow 4">
            <a:extLst>
              <a:ext uri="{FF2B5EF4-FFF2-40B4-BE49-F238E27FC236}">
                <a16:creationId xmlns:a16="http://schemas.microsoft.com/office/drawing/2014/main" id="{00000000-0008-0000-0900-000005000000}"/>
              </a:ext>
            </a:extLst>
          </xdr:cNvPr>
          <xdr:cNvSpPr/>
        </xdr:nvSpPr>
        <xdr:spPr>
          <a:xfrm>
            <a:off x="5248275" y="4514850"/>
            <a:ext cx="609600" cy="723899"/>
          </a:xfrm>
          <a:prstGeom prst="upDown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AU" sz="1100">
                <a:solidFill>
                  <a:sysClr val="windowText" lastClr="000000"/>
                </a:solidFill>
              </a:rPr>
              <a:t>Poor</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64</xdr:col>
      <xdr:colOff>481853</xdr:colOff>
      <xdr:row>39</xdr:row>
      <xdr:rowOff>437030</xdr:rowOff>
    </xdr:from>
    <xdr:to>
      <xdr:col>84</xdr:col>
      <xdr:colOff>78441</xdr:colOff>
      <xdr:row>144</xdr:row>
      <xdr:rowOff>70582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t="2614" r="36021"/>
        <a:stretch/>
      </xdr:blipFill>
      <xdr:spPr>
        <a:xfrm>
          <a:off x="44139971" y="13637559"/>
          <a:ext cx="11698941" cy="1001677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uc Phan" id="{F785E93F-1BA5-49A9-8181-E250E867648E}" userId="S::PhanD@energetics.com.au::1ad98da1-634d-4f6a-8e01-16bd2fdb252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Deegan" refreshedDate="44586.692701967593" createdVersion="4" refreshedVersion="7" minRefreshableVersion="3" recordCount="70" xr:uid="{00000000-000A-0000-FFFF-FFFF88000000}">
  <cacheSource type="worksheet">
    <worksheetSource ref="A22:AV92" sheet="Opportunity Library"/>
  </cacheSource>
  <cacheFields count="48">
    <cacheField name="Category of Opportunity" numFmtId="0">
      <sharedItems containsBlank="1"/>
    </cacheField>
    <cacheField name="Opportunity Description" numFmtId="0">
      <sharedItems containsBlank="1" count="251" longText="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Eco-Efficiency Manual for Meat Processing - section 2.2.2, pg. 26-27) "/>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Eco-Efficiency Manual for Meat Processing - section 2.2.10, pg. 32) "/>
        <s v="Flow control on continuous flow sterilisers (Eco-Efficiency Manual for Meat Processing - section 2.2.14, pg. 36-37)"/>
        <s v="Replace pot-style sterilisers with spray sterilisers."/>
        <s v="Sensor control of automatic carcase washing. Sensors that detect the presence of a carcase can avoid unnecessary water use. Sensor control could be expected to reduce water use by 30-50%. (Eco-Efficiency Manual for Meat Processing - section 2.2.18, pg. 39-40)"/>
        <s v="Water sprays on splitting saws to reduce bone dust and reduce carcase washing. Fitting a water spray kit to a splitting saw would reduce water use for carcase washing by 50% compared with a full carcase wash.  (Eco-Efficiency Manual for Meat Processing - section 2.2.19, pg. 41) "/>
        <s v="On/off controls for cooling water on breaking saws. Water use to breaking saws can be reduced by 50% through the installation of an on/off switch. (Eco-Efficiency Manual for Meat Processing - section 2.2.20, pg. 41)  "/>
        <s v="Efficient water use in tripe and bible washing machines. Water use for tripe / bible washing can be reduced by 25% through better flow control or a more efficient machine. (Eco-Efficiency Manual for Meat Processing - section 2.2.24, pg. 44)  "/>
        <s v="Water efficient gut washing systems (Eco-Efficiency Manual for Meat Processing - section 2.2.26, pg. 45) "/>
        <s v="Maximise condensate recovery in steam distribution systems. Improving condensate recovery reduces the amount of water used as boiler feed, and reduces chemicals use due to the reduced amount of boiler feed water requiring pre-treatment. (Eco-Efficiency Manual for Meat Processing - section 2.2.36, pg. 52-53) "/>
        <s v="Conductivity controlled blowdown on cooling towers. For a typical plant that has continuous blowdown, cooling water makeup could be reduced by around 50% by installing automatic blowdown controls. (Eco-Efficiency Manual for Meat Processing - section 2.2.37, pg. 53)  "/>
        <s v="Fitting efficient spray nozzles. This opportunity is based on assuming that 55% of total water use is related to hose use, and that a conservative 10% reduction in water use can be achieved from the improved selection and maintenance of spray nozzles. (Eco-Efficiency Manual for Meat Processing - section 2.2.1, pg. 25-26)  "/>
        <s v="Efficient continuous flow sterilisers (Eco-Efficiency Manual for Meat Processing - section 2.2.13, pg. 33) "/>
        <s v="Automatic spray washer for edible offal. Automatic spray washers for offal washing can reduce water use for offal washing by around 50%."/>
        <s v="Automatic washers for tubs, cutting boards and trays. An automatic washing machine used for washing tubs, cutting boards and trays, can reduce water use by up to 95%. (Eco-Efficiency Manual for Meat Processing - section 2.2.32, pg. 50)  "/>
        <s v="Floor cleaning machines for large areas (Eco-Efficiency Manual for Meat Processing - section 2.2.33, pg. 50) "/>
        <s v="Rainwater harvesting. For those plants in urban areas that purchase municipal treated water from local councils or water boards, some savings can be made by supplementing water supplies with rainwater collected from roof surfaces. (Eco-Efficiency Manual for Meat Processing - section 2.4.1, pg. 56) "/>
        <s v="High-pressure water ring main for cleaning. This opportunity assumes that pressurised water could be used for 75% of end-of-day plant cleaning, with a conservative reduction in water use of 40%. There would also be energy savings as about 40% of the water used for cleaning is hot. (Eco-Efficiency Manual for Meat Processing - section 2.2.31, pg. 49)  "/>
        <s v="Install a heat recovery system on the air compressor oil cooling circuit to produce hot water suitable for process cleaning (temperatures up to 70 degrees C). This opportunity may not be applicable if the plant already has enough hot water or there is insufficient hot water storage."/>
        <s v="Install a condensing economiser on one or more boilers.  This project may be feasible if the site needs to generate additional hot water for the steam or hot water boiler. There may be a need to install additional hot water storage to capture the hot water generated from the condensing economiser."/>
        <s v="Upgrade boiler controls with oxygen trim control. To check boiler performance, test the oxygen levels in the flue gases at low, medium and high loads. If the oxygen readings are above 5% for high loads and/or over 10% for low loads consider oxygen trim control."/>
        <s v="Install boiler blowdown heat recovery  Assess how much blowdown is being sent to drain based on total dissolved solids (TDS) levels and the TDS level in the feedwater. "/>
        <s v="Install additional hot water storage if clean hot water is being sent to drain after heat recovery from the rendering plant."/>
        <s v="Enhance heat transfer on fire tube boiler with turbulators.     "/>
        <s v="Refrigeration variable head pressure and condenser fan speed control. Variable Head Pressure Control (VHPC) provides a good business case in regions with low night and winter temperatures. This option may not be suitable for warmer regions. "/>
        <s v="Compressor Staging and Capacity Control. This opportunity is appliable to multiple refrigeration compressor installations and involves staging the operation of compressors based on refrigeration load in order to reduce electricity required."/>
        <s v="Install fan speed control on chiller rooms and freezers. "/>
        <s v="Install speed control on vacuum systems in the boning room and kill floor. (Eco-Efficiency Manual - 3.6.9, pg. 83)"/>
        <s v="Install new VSD air compressor to replace old fixed speed compressors. "/>
        <s v="Replace old lighting technology with LED lighting or induction lighting systems. Both of these technologies will reduce energy use and last 2 to 3 times longer than most older technologies such as metal halide and fluorescent tubes. "/>
        <s v="Install variable speed drives on evaporator fans to reduce heat loads in cool rooms and freezers. "/>
        <s v="Replace degraded refrigeration compressors. Most compressors will be degraded if they are over 20 years old and have not been upgraded during that time. Degradation in performance of up to 30% or more is possible. "/>
        <s v="Dry dumping of paunch contents (Eco-Efficiency Manual for Meat Processing - section 2.2.23, pg. 43-44)"/>
        <s v="Install storm water recovery and collection systems to reduce water used for washing cattle and potentially some process water uses."/>
        <s v="Suspended mesh flooring in stockyards  (Eco-Efficiency Manual for Meat Processing - section 2.2.8, pg. 30) "/>
        <s v="Install a refrigeration heat recovery system to supplement hot water supply. This opportunity applies when additional hot water is required and there is sufficient hot water storage to ensure that hot water is not sent to drain. "/>
        <s v="If the site has an old blood dryer such as a ring dryer, consider replacing with modern quad pass rotary dryer."/>
        <s v="Install odour bio-filter to replace gas fired burners used to destroy odours from the rendering plant."/>
        <s v="Install energy and water flow meters for major loads and monitor use via a central process control system or web based system. Extend system to provide online alarms and SMS alerts available remotely."/>
        <s v="Consider the installation of an economiser or air preheater for boilers."/>
        <s v="Install or upgrade power factor correction (PFC) equipment.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ting PFC equipment or install new PFC equipment. "/>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Eco-Efficiency Manual for Meat Processing - section 2.2.30, pg. 48)"/>
        <s v="Timers on water taps. For some cleaning jobs, water may be wasted because hoses or taps are left on unnecessarily. Careful observation of cleaning practices will identify where this is occurring, and then timers can be installed to stop the flow of water after a set period of time."/>
        <s v="Minimising receipt of very dirty stock (Eco-Efficiency Manual for Meat Processing - section 2.2.3, pg. 28) "/>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Eco-Efficiency Manual for Meat Processing - section 2.2.6, pg. 29)  "/>
        <s v="Avoiding under utilisation of spray capacity for stock washing.  Some meat plants have large pens capable of holding 50-100 head (cattle), with floor mounted and possibly overhead jets covering the entire area. If a small number of stock are washed at a time (say 20- 50), then water is wasted, since stock tend to crowd into the corner and only a portion (50-75%) of the spray capacity is utilised. (Eco-Efficiency Manual - section 2.2.4, pg. 28)"/>
        <s v="Limiting water use in casings washing. There is a tendency in some casings departments to leave water running unnecessarily. To avoid this, water supply can be controlled by interlocking the operation of the machine to a timer switch. Given that casings washing is occurring for 60% of the time that the machine is in operation, this could reduce water use by 40%."/>
        <s v="Water-efficient shower roses for edible offal washing. In many plants, standard shower roses are used at offal washing stations. More water efficient shower roses or spray nozzles could reduce the amount of water used for offal washing, while still maintaining effective washing."/>
        <s v="On/off control of flow for edible offal washing.  Through the use of more efficient shower roses and/or an on/off flow control device, water for edible offal washing can be reduced by 20%."/>
        <s v="If you have a steam system, check condensate return amount by measuring the chemical content in the hot well before chemical addition. If condensate return is below 60%, check that there are no major steam leaks or water leaks and review the business case for connecting remote steam users to the condensate return system."/>
        <s v="Conduct steam trap and system  review and fix leaks. The best approach is to employ an expert steam trap leak detection company to conduct investigations and fix the identified leaks. (Eco-Efficiency Manual - 3.3.3, p 63)"/>
        <s v="Ensure that your boiler maintenance contractors have checked and adjusted boiler air/fuel control to minimise energy losses. (Eco-Efficiency Manual - section 3.3.6, pg. 65)"/>
        <s v="Conduct after hours review of plant energy and water use using metering data. Investigate times when energy use is higher than expected to identify the equipment involved. Institute a manual or automatic control system/procedure to reduce unnecessary energy use.  "/>
        <s v="Optimise the existing power factor correction (PFC) system. Check that the PFC system is reading at least 0.95 and above at maximum demand peaks. "/>
        <s v="Identify and repair compressed air leaks . The best approach is to employ an expert compressed air leak detection company to conduct investigations and fix identified leaks. (Eco-Efficiency Manual - 3.3.6, pg. 81)"/>
        <s v="Review electricity demand cost and tariff charges for peak and off-peak electricity. Consider moving loads from peak periods into off-peak periods where electricity charges are cheaper. Review demand peaks and assess the options for reducing demand costs. "/>
        <s v="Automatic controls for hand washing (Eco-Efficiency Manual for Meat Processing - section 2.2.35, pg. 51-52)  "/>
        <s v="Install covered anaerobic lagoons (CALs) and capture biogas for boiler fuel. "/>
        <s v="Install biomass (including dried paunch) boiler for steam generation. This project is generally attractive if a low cost waste wood or other biomass source is available. Prices as low as a $3/GJ have been seen in the market (2017). The business case is based on the cost of biomass to be 10% to 20% of the LPG price and 20% to 30% of natural gas price. "/>
        <s v="Install a biomass boiler to generate steam and a steam turbine for electricity generation. The steam turbine offsets some or all of the electricity use on site and the remaining low pressure steam is used for hot water generation and, if applicable, in the rendering plant."/>
        <s v="Consider installation of solar PV array on a floating platform using the wastewater ponds. "/>
        <s v="Consider the installation of solar PV electricity generation. "/>
        <s v="Install wind turbine(s) if you have sufficient land along side your plant operation. The first step is to assess the wind speeds and duration of wind in your area. "/>
        <s v="Install combined heat and power (CHP) plant (cogeneration or trigeneration) using an existing fuel source. "/>
        <s v="Install evacuated tube solar hot water systems"/>
        <s v="Invest in more advanced options for water recycle and reuse within the plant"/>
        <s v="Install ammonia heat pump heat recovery system using existing waste heat available from the site refrigeration system. "/>
        <s v="Replace batch rendering with continuous rendering equipment."/>
        <m/>
        <s v="Dry dumping of paunch contents" u="1"/>
        <s v="Install alternative pond covers" u="1"/>
        <s v="Automatic controls for hand washing (Eco-Efficiency Manual for Meat Processing - section 2.2.35, pg 51-52)  " u="1"/>
        <s v="Conductivity controlled blowdown on cooling towers. For a typical plant that has continuous blowdown, cooling water makeup could be reduced by around 50% by installing automatic blowdown controls." u="1"/>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u="1"/>
        <s v="De-dagging to minimise stock washing. If stock (cattle) are washed at the feedlot and received and maintained in a clean state at the meat processing plant, then washing could be minimised. Instead some form of de-dagging could be undertaken to ensure that the opening line is clean. (Eco-Efficiency Manual for Meat Processing - section 2.2.5, pg 28-29) " u="1"/>
        <s v="Install or upgrade power factor correction.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itng PFC or install new PFC. " u="1"/>
        <s v="Reduce water use by improved demineralisation" u="1"/>
        <s v="Avoiding and rectifying over-capacity of motors" u="1"/>
        <s v="Fuel switch hot water heating for the shrink tunnel. " u="1"/>
        <s v="Optimise existing power factor correction system. Check that the PFC system is readng at least 0.95 and above at maximum demand peaks. " u="1"/>
        <s v="Sensor control of automatic carcase washing. Sensors that detect the presence of a carcase can avoid unnecessary water use. Sensor control could be expected to reduce water use by 30-50%. (Eco-Efficiency Manual for Meat Processing - section 2.2.18, pg 39-40)" u="1"/>
        <s v="Sensor control of automatic carcase washing" u="1"/>
        <s v="Maximise condensate recovery in steam distribution systems. Improving condensate recovery reduces the amount of water used as boiler feed, and reduces chemicals use due to the reduced amount of boiler feed water requiring pre-treatment." u="1"/>
        <s v="If you have a steam system, check condensate return amount by measuring the chemical content in the hot well before chemical addition. If condensate retunr is below 60%, check that there are no major steam leaks or water leaks and review the business case for connecting remote steam users to the condensate return system." u="1"/>
        <s v="Maximise condensate recovery in steam distribution systems. Improving condensate recovery reduces the amount of water used as boiler feed, and reduces chemicals use due to the reduced amount of boiler feed water requiring pre-treatment. (Eco-Efficiency Manual for Meat Processing - section 2.2.36, pg 52-53) " u="1"/>
        <s v="Water sprays on splitting saws to reduce bone dust and reduce carcase washing" u="1"/>
        <s v="Improved dry cleaning practices prior to wash down"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_x000a_sensors or a limiting switch so that the water flows intermittently instead of continuously."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u="1"/>
        <s v="Install cogeneration system" u="1"/>
        <s v="Install speed control on vacuum systems in the boning room and kill floor. (Eco-Efficiency Manual - 3.6.9, pg 83)" u="1"/>
        <s v="Conduct steam trap and system system review and fix leaks. The best approach is to employ an expert steam trap leak detection company to conduct investigations and fix the identified leaks. (Eco-Efficiency Manual - 3.3.3, p 63)" u="1"/>
        <s v="Maximising condensate recovery" u="1"/>
        <s v="Floor cleaning machines for large areas" u="1"/>
        <s v="Floor cleaning machines for large areas (Eco-Efficiency Manual for Meat Processing - section 2.2.33, pg 50) " u="1"/>
        <s v="Install energy and water flow meters for major loads and monitor use via a central process control system or web based system." u="1"/>
        <s v="Conversion to cleaner fuel boiler (gas)" u="1"/>
        <s v="Install trigeneration for heating, cooling and electricity" u="1"/>
        <s v="Automatic diversion valves in bleed area to avoid blood dilution and blood loss" u="1"/>
        <s v="Heat recovery from sources other than rendering" u="1"/>
        <s v="Install ammonia heat pump for heat recovery from refrigeration" u="1"/>
        <s v="Refrigeration variable head pressure and condenser fan speed control. Variable Head Pressure Control (VHPC) provides a good bsuiness case in regions with low night and winter temperatures. This option may not be suitable for warmer regions. " u="1"/>
        <s v="Insulation of steam lines" u="1"/>
        <s v="Identify and repair compressed air leaks . Best approach is to employ an expert compressed air leak detection company to conduct investigations and fix the identified leaks." u="1"/>
        <s v="Identify and repair compressed air leaks . The best approach is to employ an expert compressed air leak detection company to conduct investigations and fix identified leaks." u="1"/>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Eco-Efficiency Manual for Meat Processing - section 2.2.30, pg 48)" u="1"/>
        <s v="Reducing heat ingress to refrigerated areas" u="1"/>
        <s v="Water sprays on splitting saws to reduce bone dust and reduce carcase washing. Fitting a water spray kit to a splitting saw would reduce water use for carcase washing by 50% compared with a full carcase wash." u="1"/>
        <s v="On/off controls for cooling water on breaking saws. Water use to breaking saws can be reduced by 50% through the installation of an on/off switch. (Eco-Efficiency Manual for Meat Processing - section 2.2.20, pg 41)  " u="1"/>
        <s v="High-pressure water ring main for cleaning. This opportunity assumes that pressurised water could be used for 75% of end-of-day plant cleaning, with a conservative reduction in water use of 40%. There would also be energy savings as about 40% of the water used for cleaning is hot." u="1"/>
        <s v="Install or upgrade power factor correction (PFC) equipment.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itng PFC equipment or install new PFC equipment. " u="1"/>
        <s v="Where electric steam boiler is used for sterlisation switch to fuel fired hot water generation. " u="1"/>
        <s v="Review tariff for electricity. New electricity network tariffs are available each year. Some elecricity suppliers will conduct a review of tariffs to ensure that lowest costs are achieved. If a tariff has not been conducted for a few years, it is good idea to get an expeert ot check that the bext tariff is being applied. " u="1"/>
        <s v="Install biomass boiler for steam generation. This project is generally attractive if a low cost waste wood or other biomas is available. Prices as low as a $3/GJ have been seen in the market (2017). The business case is based on the cost of biomass to be 10% to 20% of the LPG price and 20% to 30% of natural gas price. " u="1"/>
        <s v="Fine tuning of boiler operation" u="1"/>
        <s v="High efficiency air compressors" u="1"/>
        <s v="Efficient continuous flow sterilisers" u="1"/>
        <s v="Consider Renewable Energy and Storage systems" u="1"/>
        <s v="Review electricity network tariff. New electricity network tariffs are available each year. Some electricity suppliers will conduct a review of tariffs to ensure that the lowest costs for end users are achieved. If a network tariff review has not been conducted for a few years, the consumption patterns of the site may have changed and the current tariff may not be the most cost effective. Consider getting an expert to ensure accounts are on the lowest cost tariff." u="1"/>
        <s v="Install biomass boiler to generate steam and a steam turbine for power generation. Low pressure steam is then used for hot water generation and rendering plant." u="1"/>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u="1"/>
        <s v="Switch from electric heating to hot water heating for the shrink tunnel. " u="1"/>
        <s v="Energy-efficiency lighting" u="1"/>
        <s v="Invest options for water recycle and reuse within the plant" u="1"/>
        <s v="Timers on water taps" u="1"/>
        <s v="Optimising heat recovery from rendering" u="1"/>
        <s v="Review electrcity demand cost and tariff charges for peak and off-peak electricity. Consider moving loads from peak periods into off-peak periods where electricity charges are cheaper. Review demand peaks and assess the options for reducing demand costs. " u="1"/>
        <s v="Suspended mesh flooring in stockyards" u="1"/>
        <s v="Use waste heat for absorption refrigeration" u="1"/>
        <s v="Install refrigeration controls to improve refrigeration system efficiency" u="1"/>
        <s v="Conduct steam trap and system system review and fix leaks. The best approach is to employ an expert steam trap leak detection company to conduct investigations and fix the identified leaks." u="1"/>
        <s v="Install biomass boiler for steam generation. This project is generally attractive if a low cost waste wood or other biomass source is available. Prices as low as a $3/GJ have been seen in the market (2017). The business case is based on the cost of biomass to be 10% to 20% of the LPG price and 20% to 30% of natural gas price. " u="1"/>
        <s v="Reducing water entrainment in rendering materials" u="1"/>
        <s v="Water-efficient shower roses for edible offal washing" u="1"/>
        <s v="Automatic washers for tubs, cutting boards and trays. An automatic washing machine used for washing tubs, cutting boards and trays, can reduce water use by up to 95%. (Eco-Efficiency Manual for Meat Processing - section 2.2.32, pg 50)  " u="1"/>
        <s v="Continuous anaerobic pond desludging" u="1"/>
        <s v="Combined heat and power (CHP) plant (cogeneration or trigeneration) using existing fuel source . " u="1"/>
        <s v="Efficient water use in tripe and bible washing machines. Water use for tripe / bible washing can be reduced by 25% through better flow control or a more efficient machine. (Eco-Efficiency Manual for Meat Processing - section 2.2.24, pg 44)  " u="1"/>
        <s v="Centralised control of water supplies" u="1"/>
        <s v="Dry cleaning manure from stockyards before washing" u="1"/>
        <s v="Conduct steam trap and system system review and fix leaks. Best approach is to employ an expert steam trap leak detection company to conduct investigations and fix the identified leaks." u="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Eco-Efficiency Manual for Meat Processing - section 2.2.2, pg 26-27) " u="1"/>
        <s v="On/off controls for cooling water on breaking saws" u="1"/>
        <s v="Compressor Staging and Capacity Control. This opportunity is appliable to multiple refrigeration compressor installations. " u="1"/>
        <s v="Rainwater harvesting" u="1"/>
        <s v="High efficiency boiler" u="1"/>
        <s v="Improving efficiency of air compression" u="1"/>
        <s v="Water efficient gut washing systems (Eco-Efficiency Manual for Meat Processing - section 2.2.26, pg 45) " u="1"/>
        <s v="Optimise the existing power factor correction (PFC) system. Check that the PFC system is readng at least 0.95 and above at maximum demand peaks. " u="1"/>
        <s v="Minimising receipt of very dirty stock (Eco-Efficiency Manual for Meat Processing - section 2.2.3, pg 28) " u="1"/>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u="1"/>
        <s v="Improving efficiency of refrigeration compressors" u="1"/>
        <s v="Upgrade boiler controls with oxygen trim control. To check boiler performance, test the oxygen levels in the flue gases at low, medium amd high loads. If the oxygen readings are above 5% for high loads and/or over 10% for low loads consider oxygen trim control." u="1"/>
        <s v="Combined heat and power (CHP) plant (cogeneration or trigeneration) using existing fuel source. " u="1"/>
        <s v="Conduct after hours review of plant energy and water use using metering data. Investigate times when energy use is higher than expected to identify the equipment involved. Institute a manual or automatice control system/procedure to reduce unnecessary enegry use.  " u="1"/>
        <s v="Automatic washers for tubs, cutting boards and trays" u="1"/>
        <s v="Review electrcity demand cost and tariff charges for peak and off-peak electricity. Consider moving loads form peak periods into off-peak periods where charges are cheaper. Review demand peaks and assess the options for reducing demand costs. " u="1"/>
        <s v="High-pressure water ring main for cleaning. Assuming that pressurised water could be used for 75% of end-of-day plant cleaning with a conservative reduction in water use of 40%. There would also be savings in energy since about 40% of the water used for cleaning is hot." u="1"/>
        <s v="Install low to medium temperature solar thermal system" u="1"/>
        <s v="Spray sterilisers" u="1"/>
        <s v="Variable speed drives" u="1"/>
        <s v="Solar pre-heating of boiler feed water" u="1"/>
        <s v="De-dagging to minimise stock washing. If stock (cattle) are washed at the feedlot and received and maintained in a clean state at the meat processing plant, then washing could be minimised. Instead some form of de-dagging could be undertaken to ensure that the opening line is clean." u="1"/>
        <s v="Sensor control of automatic carcase washing. Sensors that detect the presence of a carcase can avoid unnecessary water use. Sensor control could be expected to reduce water use by 30-50%." u="1"/>
        <s v="Install Power Factor Correction Equipment" u="1"/>
        <s v="Timers on water taps. For some cleaning jobs, water may be wasted because hoses or taps are left on_x000a_unnecessarily. Careful observation of cleaning practices will identify where this is occurring,_x000a_and then timers can be installed to stop the flow of water after a set period of time." u="1"/>
        <s v="Using covered anaerobic lagoons" u="1"/>
        <s v="Optimise in-vessel anaerobic digestion" u="1"/>
        <s v="Energy efficient freezing systems" u="1"/>
        <s v="Water efficient gut washing systems" u="1"/>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Eco-Efficiency Manual for Meat Processing - section 2.2.10, pg 32) " u="1"/>
        <s v="High-pressure water ring main for cleaning" u="1"/>
        <s v="Setting and maintaining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u="1"/>
        <s v="Extend energy and water monitoring system to provide online alarms and SMS alerts available remotely" u="1"/>
        <s v="Efficient continuous flow sterilisers (Eco-Efficiency Manual for Meat Processing - section 2.2.13, pg 33) " u="1"/>
        <s v="Install boiler blowdown heat recovery . Assess how much blowdown is being sent to drain based on total dissolved solids (TDS) levels and the TDS level in the feedwater. " u="1"/>
        <s v="Install a refrigeration heat recovery system to supplement hot water supply. This opportunity applies when additional hot water is required and there is sufficient hot watewr storage to ensure that hot water is not sent to drain. " u="1"/>
        <s v="Upgrade boiler controls with oxygen trim control. Test the oxygen levels in the flue gases at low, medium amd high loads. If the oxygen readings are above 5% for high loads and/or over 10% for low loads consider oxygen trim control." u="1"/>
        <s v="Composting of manure" u="1"/>
        <s v="Install an anaerobic membrane bioreactor" u="1"/>
        <s v="Turning off refrigeration at night during weekends" u="1"/>
        <s v="Fitting efficient spray nozzles. This opportunity is based on assuming that 55% of total water use is related to hose use, and that a conservative 10% reduction in water use can be achieved from the improved selection and maintenance of spray nozzles. (Eco-Efficiency Manual for Meat Processing - section 2.2.1, pg 25-26)  " u="1"/>
        <s v="Install anaerobic membrane bioreactors for wastewater treatment" u="1"/>
        <s v="Ensure that your boiler maintenance contractors have checked and adjusted boiler air/fuel control to minimise energy losses. (Eco-Efficiency Manual - section 3.3.6, pg 65)" u="1"/>
        <s v="Wastewater Treatment with Anaerobic Digestion &amp; Anammox" u="1"/>
        <s v="Install combined heat and power (CHP) plant (cogeneration or trigeneration) using existing fuel source. " u="1"/>
        <s v="Centralised control of water supplies. If turning off individual water supplies on the production line at breaks is delayed by_x000a_around five minutes each time, then centralised control of water supply could save up to_x000a_30 minutes of water flow in a production day (assuming six breaks per day)." u="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u="1"/>
        <s v="Avoiding under utilisation of spray capacity for stock washing.  Some meat plants have large pens capable of holding 50-100 head (cattle), with floormounted and possibly overhead jets covering the entire area. If a small number of stock are washed at a time (say 20- 50), then water is wasted, since stock tend to crowd into the corner and only a portion (50-75%) of the spray capacity is utilised."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 u="1"/>
        <s v="Limiting water use in casings washing" u="1"/>
        <s v="Efficient water use in tripe and bible washing machines" u="1"/>
        <s v="Install a heat recovery system on the air compressor oil cooling circuit to produce hot water suitbale for process cleaning (tmeperatures up to 70 degrees C). This opportunity may not be applicable if the plant already has enough hot water or there is insufficient hot water storage." u="1"/>
        <s v="Install speed control on boning room and kill floor vacuum systems . " u="1"/>
        <s v="Create covered anaerobic lagoons (CALs) and capture biogas for boiler fuel. " u="1"/>
        <s v="Fitting efficient spray nozzles. This opportunity business case is based on assuming that 55% of total water use is related to hose use, and that a conservative 10% reduction in water use can be achieved from the improved selection and maintenance of spray nozzles." u="1"/>
        <s v="Switch from electric heating to hot water heating for sterlisers. " u="1"/>
        <s v="De-dagging to avoid stock washing at domestic meat plants" u="1"/>
        <s v="Fitting efficient spray nozzles. This opportunity is based on assuming that 55% of total water use is related to hose use, and that a conservative 10% reduction in water use can be achieved from the improved selection and maintenance of spray nozzles." u="1"/>
        <s v="Pyrolosis system to turn paunch waste into biochar and syngas" u="1"/>
        <s v="Automatic controls for hand washing" u="1"/>
        <s v="Maximise condensate recovery in steam distribution systems. Improving condensate recovery reduces the amount of water used as boiler feed, and reduces chemicals use due to the reduced amount of boiler feed water._x000a_requiring pre-treatment." u="1"/>
        <s v="Rationalisation of boiler use" u="1"/>
        <s v="Minimising receipt of very dirty stock" u="1"/>
        <s v="Flow control on continuous flow sterilisers" u="1"/>
        <s v="Optimising piping layout to reduce pumping load" u="1"/>
        <s v="Use of tallow instead of fuel oil for steam raising" u="1"/>
        <s v="Limiting water use in casings washing. There is a tendency in some casings departments to leave water running unnecessarily. To avoid this, water supply can be controlled by interlocking the operation of the machine to a timer switch. Given that casings washing is occurring for 60% of the time that the machine is in operation, this could reduce water use by 40%" u="1"/>
        <s v="Avoiding under utilisation of spray capacity for stock washing.  Some meat plants have large pens capable of holding 50-100 head (cattle), with floormounted and possibly overhead jets covering the entire area. If a small number of stock are washed at a time (say 20- 50), then water is wasted, since stock tend to crowd into the corner and only a portion (50-75%) of the spray capacity is utilised. (Eco-Efficiency Manual - section 2.2.4, pg 28)" u="1"/>
        <s v="Boiler upgrades (efficient boiler type, economisers, burners)" u="1"/>
        <s v="On/off controls for cooling water on breaking saws. Water use to breaking saws can be reduced by 50% through the installation of an on/off switch." u="1"/>
        <s v="Install wind turbine if you have sufficient land along side your plant operation. First step is to assess the wind speeds and duration of wind in your area. " u="1"/>
        <s v="Efficient water use in tripe and bible washing machines. Water use for tripe / bible washing can be reduced by 25% through better flow control or a more efficient machine." u="1"/>
        <s v="Rainwater harvesting. For those plants in urban areas that purchase municipal treated water from local councils or water boards, some savings can be made by supplementing water supplies with rainwater collected from roof surfaces. (Eco-Efficiency Manual for Meat Processing - section 2.4.1, pg 56) " u="1"/>
        <s v="Refrigeration variable head pressure and condenser fan speed control. VHPC provides a good bsuiness case in regions with low night and winter temperatures. This option may not be suitable for warmer regions. " u="1"/>
        <s v="Install a condensing economiser on one or boilers.  This project may be feasible if you have a need to generate additional hot water from steam or hot water boiler. There may be a need to install additional hot water storage to capture the hot water generated from the condensing economiser." u="1"/>
        <s v="Water level control on pig scald tanks" u="1"/>
        <s v="Extend energy and water monitoring system to provide online alarms and SMS alerts available remotely." u="1"/>
        <s v="Install additional hot water storage if clean hot water is being sent to drainafter heat recovery from the rendering plant." u="1"/>
        <s v="Ensure that your boiler maintenance contractors have checked and adjusted boiler air/fuel control to minimise energy losses." u="1"/>
        <s v="High-pressure water ring main for cleaning. This opportunity assumes that pressurised water could be used for 75% of end-of-day plant cleaning, with a conservative reduction in water use of 40%. There would also be energy savings as about 40% of the water used for cleaning is hot. (Eco-Efficiency Manual for Meat Processing - section 2.2.31, pg 49)  " u="1"/>
        <s v="Dewatering paunch manure using screw press" u="1"/>
        <s v="Install speed control on vacuum systems in the boning room and kill floor." u="1"/>
        <s v="Avoiding under utilisation of spray capacity for stock washing" u="1"/>
        <s v="Setting and maintaining minimum flow rates for viscera table wash sprays" u="1"/>
        <s v="Install wind turbine if you have sufficient land along side your plant operation. The first step is to assess the wind speeds and duration of wind in your area. " u="1"/>
        <s v="Rainwater harvesting. For those plants in urban areas that purchase municipal treated water from local councils or water boards, some savings can be made by supplementing water supplies with rainwater collected from roof surfaces." u="1"/>
        <s v="Reduce exposure to high electricity costs" u="1"/>
        <s v="Conductivity controlled blowdown on cooling towers" u="1"/>
        <s v="Conduct Renewable Energy Options Assessment to identify options" u="1"/>
        <s v="Switch from electric heating to hot water heating for sterilisers. " u="1"/>
        <s v="Dry dumping of paunch contents (Eco-Efficiency Manual for Meat Processing - section 2.2.23, pg 43-44)" u="1"/>
        <s v="Install solar PV system - size of system depends on roof space available. Recent offers for solar PV have been as low as $1/watt with cost reduction for renewables energy certificates included." u="1"/>
        <s v="Matching steam supply with demand" u="1"/>
        <s v="Automatic washers for tubs, cutting boards and trays. An automatic washing machine used for washing tubs, cutting boards and trays, can reduce water use by up to 95%." u="1"/>
        <s v="Water sprays on splitting saws to reduce bone dust and reduce carcase washing. Fitting a water spray kit to a splitting saw would reduce water use for carcase washing by 50% compared with a full carcase wash.  (Eco-Efficiency Manual for Meat Processing - section 2.2.19, pg 41) " u="1"/>
        <s v="Intermittent flow for viscera (bleed) table wash sprays" u="1"/>
        <s v="Use of chlorinated detergents instead of hot water for washing viscera tables" u="1"/>
        <s v="Rectification of steam leaks" u="1"/>
        <s v="Install submerged cover anaerobic lagoon system" u="1"/>
        <s v="Suspended mesh flooring in stockyards  (Eco-Efficiency Manual for Meat Processing - section 2.2.8, pg 30) " u="1"/>
        <s v="If there is an old blood dryer such as a ring dryer. Consider replacing with modern quad pass rotary dryer." u="1"/>
        <s v="Identify and repair compressed air leaks . The best approach is to employ an expert compressed air leak detection company to conduct investigations and fix identified leaks. (Eco-Efficiency Manual - 3.3.6, pg 81)" u="1"/>
        <s v="Automatic spray washer for edible offal" u="1"/>
        <s v="Flow control on continuous flow sterilisers (Eco-Efficiency Manual for Meat Processing - section 2.2.14, pg 36-37)" u="1"/>
        <s v="Conductivity controlled blowdown on cooling towers. For a typical plant that has continuous blowdown, cooling water makeup could be reduced by around 50% by installing automatic blowdown controls. (Eco-Efficiency Manual for Meat Processing - section 2.2.37, pg 53)  " u="1"/>
        <s v="Rationalisation of steam lines" u="1"/>
        <s v="On/off control of flow for edible offal washing" u="1"/>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Eco-Efficiency Manual for Meat Processing - section 2.2.6, pg 29)  " u="1"/>
        <s v="Fitting efficient spray nozzles" u="1"/>
      </sharedItems>
    </cacheField>
    <cacheField name="area of saving-Water" numFmtId="0">
      <sharedItems containsBlank="1"/>
    </cacheField>
    <cacheField name="area of saving-Steam" numFmtId="0">
      <sharedItems containsBlank="1"/>
    </cacheField>
    <cacheField name="area of saving-Water heating" numFmtId="0">
      <sharedItems containsBlank="1"/>
    </cacheField>
    <cacheField name="area of saving-Electricity" numFmtId="0">
      <sharedItems containsBlank="1"/>
    </cacheField>
    <cacheField name="area of saving-Emissions" numFmtId="0">
      <sharedItems containsBlank="1"/>
    </cacheField>
    <cacheField name="area of saving-Wastewater" numFmtId="0">
      <sharedItems containsNonDate="0" containsString="0" containsBlank="1"/>
    </cacheField>
    <cacheField name="Consider Opportunity?-water" numFmtId="0">
      <sharedItems containsBlank="1" count="6">
        <b v="1"/>
        <b v="0"/>
        <s v=""/>
        <m/>
        <e v="#DIV/0!" u="1"/>
        <e v="#VALUE!" u="1"/>
      </sharedItems>
    </cacheField>
    <cacheField name="Consider Opportunity?-thermal" numFmtId="0">
      <sharedItems containsBlank="1" count="6">
        <s v=""/>
        <b v="1"/>
        <b v="0"/>
        <m/>
        <e v="#DIV/0!" u="1"/>
        <e v="#VALUE!" u="1"/>
      </sharedItems>
    </cacheField>
    <cacheField name="Consider Opportunity?-elec" numFmtId="0">
      <sharedItems containsBlank="1" count="6">
        <s v=""/>
        <b v="0"/>
        <b v="1"/>
        <m/>
        <e v="#DIV/0!" u="1"/>
        <e v="#VALUE!" u="1"/>
      </sharedItems>
    </cacheField>
    <cacheField name="Consider Opportunity?-overall" numFmtId="0">
      <sharedItems containsBlank="1"/>
    </cacheField>
    <cacheField name="Questionnaire trigger(s)-What facility required?" numFmtId="0">
      <sharedItems containsBlank="1"/>
    </cacheField>
    <cacheField name="Questionnaire trigger(s)-Has Facility? T/F" numFmtId="0">
      <sharedItems containsBlank="1"/>
    </cacheField>
    <cacheField name="Questionnaire trigger(s)-Minimum tHSCW output required?" numFmtId="0">
      <sharedItems containsBlank="1"/>
    </cacheField>
    <cacheField name="Questionnaire trigger(s)-Meets production requirement? T/F" numFmtId="0">
      <sharedItems containsBlank="1"/>
    </cacheField>
    <cacheField name="% of total site usage saved-thermal (site /w rendering)" numFmtId="0">
      <sharedItems containsString="0" containsBlank="1" containsNumber="1" minValue="-0.5" maxValue="1"/>
    </cacheField>
    <cacheField name="% of total site usage saved-thermal (site w/o rendering)" numFmtId="0">
      <sharedItems containsString="0" containsBlank="1" containsNumber="1" minValue="-0.3" maxValue="1"/>
    </cacheField>
    <cacheField name="% of total site usage saved-elec" numFmtId="0">
      <sharedItems containsString="0" containsBlank="1" containsNumber="1" minValue="-0.02" maxValue="1"/>
    </cacheField>
    <cacheField name="% of total site usage saved-water" numFmtId="0">
      <sharedItems containsString="0" containsBlank="1" containsNumber="1" minValue="5.0000000000000001E-4" maxValue="0.1"/>
    </cacheField>
    <cacheField name="typical payback (years)-lower" numFmtId="0">
      <sharedItems containsString="0" containsBlank="1" containsNumber="1" minValue="0" maxValue="6"/>
    </cacheField>
    <cacheField name="typical payback (years)-mid" numFmtId="0">
      <sharedItems containsString="0" containsBlank="1" containsNumber="1" minValue="0.1" maxValue="6"/>
    </cacheField>
    <cacheField name="typical payback (years)-upper" numFmtId="0">
      <sharedItems containsString="0" containsBlank="1" containsNumber="1" minValue="0.2" maxValue="10"/>
    </cacheField>
    <cacheField name="Other net saving as a multiplier of total commodity savings" numFmtId="0">
      <sharedItems containsString="0" containsBlank="1" containsNumber="1" minValue="1" maxValue="2"/>
    </cacheField>
    <cacheField name="back-calculated saving _x000a_( [GJ] / year )-thermal" numFmtId="0">
      <sharedItems containsString="0" containsBlank="1" containsNumber="1" minValue="-97500" maxValue="195000"/>
    </cacheField>
    <cacheField name="back-calculated saving _x000a_( [kWh] / year )-elec" numFmtId="0">
      <sharedItems containsString="0" containsBlank="1" containsNumber="1" containsInteger="1" minValue="-280000" maxValue="14000000"/>
    </cacheField>
    <cacheField name="back-calculated saving _x000a_( [kL] / year )-water" numFmtId="0">
      <sharedItems containsString="0" containsBlank="1" containsNumber="1" minValue="0" maxValue="60000"/>
    </cacheField>
    <cacheField name="back-calculated default saving ($ / yr)-thermal" numFmtId="0">
      <sharedItems containsString="0" containsBlank="1" containsNumber="1" minValue="-123999.99999999999" maxValue="247999.99999999997"/>
    </cacheField>
    <cacheField name="back-calculated default saving ($ / yr)-elec" numFmtId="0">
      <sharedItems containsString="0" containsBlank="1" containsNumber="1" minValue="-43000" maxValue="2150000"/>
    </cacheField>
    <cacheField name="back-calculated default saving ($ / yr)-water" numFmtId="0">
      <sharedItems containsString="0" containsBlank="1" containsNumber="1" minValue="0" maxValue="232500"/>
    </cacheField>
    <cacheField name="back-calculated default saving ($ / yr)-net other" numFmtId="0">
      <sharedItems containsString="0" containsBlank="1" containsNumber="1" containsInteger="1" minValue="0" maxValue="2480"/>
    </cacheField>
    <cacheField name="back-calculated default saving ($ / yr)-Total" numFmtId="0">
      <sharedItems containsString="0" containsBlank="1" containsNumber="1" minValue="-13240" maxValue="2224400"/>
    </cacheField>
    <cacheField name="back-calculated adjusted CAPEX" numFmtId="0">
      <sharedItems containsString="0" containsBlank="1" containsNumber="1" minValue="-79440" maxValue="11122000"/>
    </cacheField>
    <cacheField name="back-calculated actual saving ($ / yr)-thermal" numFmtId="0">
      <sharedItems containsString="0" containsBlank="1" containsNumber="1" minValue="-123999.99999999999" maxValue="247999.99999999997"/>
    </cacheField>
    <cacheField name="back-calculated actual saving ($ / yr)-elec" numFmtId="0">
      <sharedItems containsString="0" containsBlank="1" containsNumber="1" minValue="-43000" maxValue="2150000"/>
    </cacheField>
    <cacheField name="back-calculated actual saving ($ / yr)-water" numFmtId="0">
      <sharedItems containsString="0" containsBlank="1" containsNumber="1" minValue="0" maxValue="232500"/>
    </cacheField>
    <cacheField name="back-calculated actual saving ($ / yr)-net other" numFmtId="0">
      <sharedItems containsString="0" containsBlank="1" containsNumber="1" containsInteger="1" minValue="0" maxValue="2480"/>
    </cacheField>
    <cacheField name="back-calculated actual saving ($ / yr)-Total" numFmtId="0">
      <sharedItems containsString="0" containsBlank="1" containsNumber="1" minValue="-13240" maxValue="2224400"/>
    </cacheField>
    <cacheField name="adjusted payback (years)-lower" numFmtId="0">
      <sharedItems containsString="0" containsBlank="1" containsNumber="1" minValue="0" maxValue="4.5"/>
    </cacheField>
    <cacheField name="adjusted payback (years)-mid" numFmtId="0">
      <sharedItems containsString="0" containsBlank="1" containsNumber="1" minValue="0" maxValue="6"/>
    </cacheField>
    <cacheField name="adjusted payback (years)-upper" numFmtId="0">
      <sharedItems containsString="0" containsBlank="1" containsNumber="1" minValue="0" maxValue="7.5"/>
    </cacheField>
    <cacheField name="Has zero savings?" numFmtId="0">
      <sharedItems containsBlank="1"/>
    </cacheField>
    <cacheField name="Passes the payback threshold?" numFmtId="0">
      <sharedItems containsBlank="1" count="3">
        <b v="0"/>
        <b v="1"/>
        <m/>
      </sharedItems>
    </cacheField>
    <cacheField name="Scope 1 saving" numFmtId="3">
      <sharedItems containsString="0" containsBlank="1" containsNumber="1" minValue="-5024.1750000000002" maxValue="10048.35"/>
    </cacheField>
    <cacheField name="Scope 2 saving" numFmtId="3">
      <sharedItems containsString="0" containsBlank="1" containsNumber="1" minValue="-274.40000000000003" maxValue="13720"/>
    </cacheField>
    <cacheField name="Total emissions saving" numFmtId="3">
      <sharedItems containsString="0" containsBlank="1" containsNumber="1" minValue="0" maxValue="16734.505000000001"/>
    </cacheField>
    <cacheField name="Present to user? T/F" numFmtId="0">
      <sharedItems containsBlank="1"/>
    </cacheField>
    <cacheField name="Hyperlink to UR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hew Deegan" refreshedDate="44586.692702430555" createdVersion="4" refreshedVersion="7" minRefreshableVersion="3" recordCount="65" xr:uid="{00000000-000A-0000-FFFF-FFFF73000000}">
  <cacheSource type="worksheet">
    <worksheetSource ref="A22:AV87" sheet="Opportunity Library"/>
  </cacheSource>
  <cacheFields count="48">
    <cacheField name="Category of Opportunity" numFmtId="0">
      <sharedItems/>
    </cacheField>
    <cacheField name="Opportunity Description" numFmtId="0">
      <sharedItems count="172" longText="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Eco-Efficiency Manual for Meat Processing - section 2.2.2, pg. 26-27) "/>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Eco-Efficiency Manual for Meat Processing - section 2.2.10, pg. 32) "/>
        <s v="Flow control on continuous flow sterilisers (Eco-Efficiency Manual for Meat Processing - section 2.2.14, pg. 36-37)"/>
        <s v="Replace pot-style sterilisers with spray sterilisers."/>
        <s v="Sensor control of automatic carcase washing. Sensors that detect the presence of a carcase can avoid unnecessary water use. Sensor control could be expected to reduce water use by 30-50%. (Eco-Efficiency Manual for Meat Processing - section 2.2.18, pg. 39-40)"/>
        <s v="Water sprays on splitting saws to reduce bone dust and reduce carcase washing. Fitting a water spray kit to a splitting saw would reduce water use for carcase washing by 50% compared with a full carcase wash.  (Eco-Efficiency Manual for Meat Processing - section 2.2.19, pg. 41) "/>
        <s v="On/off controls for cooling water on breaking saws. Water use to breaking saws can be reduced by 50% through the installation of an on/off switch. (Eco-Efficiency Manual for Meat Processing - section 2.2.20, pg. 41)  "/>
        <s v="Efficient water use in tripe and bible washing machines. Water use for tripe / bible washing can be reduced by 25% through better flow control or a more efficient machine. (Eco-Efficiency Manual for Meat Processing - section 2.2.24, pg. 44)  "/>
        <s v="Water efficient gut washing systems (Eco-Efficiency Manual for Meat Processing - section 2.2.26, pg. 45) "/>
        <s v="Maximise condensate recovery in steam distribution systems. Improving condensate recovery reduces the amount of water used as boiler feed, and reduces chemicals use due to the reduced amount of boiler feed water requiring pre-treatment. (Eco-Efficiency Manual for Meat Processing - section 2.2.36, pg. 52-53) "/>
        <s v="Conductivity controlled blowdown on cooling towers. For a typical plant that has continuous blowdown, cooling water makeup could be reduced by around 50% by installing automatic blowdown controls. (Eco-Efficiency Manual for Meat Processing - section 2.2.37, pg. 53)  "/>
        <s v="Fitting efficient spray nozzles. This opportunity is based on assuming that 55% of total water use is related to hose use, and that a conservative 10% reduction in water use can be achieved from the improved selection and maintenance of spray nozzles. (Eco-Efficiency Manual for Meat Processing - section 2.2.1, pg. 25-26)  "/>
        <s v="Efficient continuous flow sterilisers (Eco-Efficiency Manual for Meat Processing - section 2.2.13, pg. 33) "/>
        <s v="Automatic spray washer for edible offal. Automatic spray washers for offal washing can reduce water use for offal washing by around 50%."/>
        <s v="Automatic washers for tubs, cutting boards and trays. An automatic washing machine used for washing tubs, cutting boards and trays, can reduce water use by up to 95%. (Eco-Efficiency Manual for Meat Processing - section 2.2.32, pg. 50)  "/>
        <s v="Floor cleaning machines for large areas (Eco-Efficiency Manual for Meat Processing - section 2.2.33, pg. 50) "/>
        <s v="Rainwater harvesting. For those plants in urban areas that purchase municipal treated water from local councils or water boards, some savings can be made by supplementing water supplies with rainwater collected from roof surfaces. (Eco-Efficiency Manual for Meat Processing - section 2.4.1, pg. 56) "/>
        <s v="High-pressure water ring main for cleaning. This opportunity assumes that pressurised water could be used for 75% of end-of-day plant cleaning, with a conservative reduction in water use of 40%. There would also be energy savings as about 40% of the water used for cleaning is hot. (Eco-Efficiency Manual for Meat Processing - section 2.2.31, pg. 49)  "/>
        <s v="Install a heat recovery system on the air compressor oil cooling circuit to produce hot water suitable for process cleaning (temperatures up to 70 degrees C). This opportunity may not be applicable if the plant already has enough hot water or there is insufficient hot water storage."/>
        <s v="Install a condensing economiser on one or more boilers.  This project may be feasible if the site needs to generate additional hot water for the steam or hot water boiler. There may be a need to install additional hot water storage to capture the hot water generated from the condensing economiser."/>
        <s v="Upgrade boiler controls with oxygen trim control. To check boiler performance, test the oxygen levels in the flue gases at low, medium and high loads. If the oxygen readings are above 5% for high loads and/or over 10% for low loads consider oxygen trim control."/>
        <s v="Install boiler blowdown heat recovery  Assess how much blowdown is being sent to drain based on total dissolved solids (TDS) levels and the TDS level in the feedwater. "/>
        <s v="Install additional hot water storage if clean hot water is being sent to drain after heat recovery from the rendering plant."/>
        <s v="Enhance heat transfer on fire tube boiler with turbulators.     "/>
        <s v="Refrigeration variable head pressure and condenser fan speed control. Variable Head Pressure Control (VHPC) provides a good business case in regions with low night and winter temperatures. This option may not be suitable for warmer regions. "/>
        <s v="Compressor Staging and Capacity Control. This opportunity is appliable to multiple refrigeration compressor installations and involves staging the operation of compressors based on refrigeration load in order to reduce electricity required."/>
        <s v="Install fan speed control on chiller rooms and freezers. "/>
        <s v="Install speed control on vacuum systems in the boning room and kill floor. (Eco-Efficiency Manual - 3.6.9, pg. 83)"/>
        <s v="Install new VSD air compressor to replace old fixed speed compressors. "/>
        <s v="Replace old lighting technology with LED lighting or induction lighting systems. Both of these technologies will reduce energy use and last 2 to 3 times longer than most older technologies such as metal halide and fluorescent tubes. "/>
        <s v="Install variable speed drives on evaporator fans to reduce heat loads in cool rooms and freezers. "/>
        <s v="Replace degraded refrigeration compressors. Most compressors will be degraded if they are over 20 years old and have not been upgraded during that time. Degradation in performance of up to 30% or more is possible. "/>
        <s v="Dry dumping of paunch contents (Eco-Efficiency Manual for Meat Processing - section 2.2.23, pg. 43-44)"/>
        <s v="Install storm water recovery and collection systems to reduce water used for washing cattle and potentially some process water uses."/>
        <s v="Suspended mesh flooring in stockyards  (Eco-Efficiency Manual for Meat Processing - section 2.2.8, pg. 30) "/>
        <s v="Install a refrigeration heat recovery system to supplement hot water supply. This opportunity applies when additional hot water is required and there is sufficient hot water storage to ensure that hot water is not sent to drain. "/>
        <s v="If the site has an old blood dryer such as a ring dryer, consider replacing with modern quad pass rotary dryer."/>
        <s v="Install odour bio-filter to replace gas fired burners used to destroy odours from the rendering plant."/>
        <s v="Install energy and water flow meters for major loads and monitor use via a central process control system or web based system. Extend system to provide online alarms and SMS alerts available remotely."/>
        <s v="Consider the installation of an economiser or air preheater for boilers."/>
        <s v="Install or upgrade power factor correction (PFC) equipment.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ting PFC equipment or install new PFC equipment. "/>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Eco-Efficiency Manual for Meat Processing - section 2.2.30, pg. 48)"/>
        <s v="Timers on water taps. For some cleaning jobs, water may be wasted because hoses or taps are left on unnecessarily. Careful observation of cleaning practices will identify where this is occurring, and then timers can be installed to stop the flow of water after a set period of time."/>
        <s v="Minimising receipt of very dirty stock (Eco-Efficiency Manual for Meat Processing - section 2.2.3, pg. 28) "/>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Eco-Efficiency Manual for Meat Processing - section 2.2.6, pg. 29)  "/>
        <s v="Avoiding under utilisation of spray capacity for stock washing.  Some meat plants have large pens capable of holding 50-100 head (cattle), with floor mounted and possibly overhead jets covering the entire area. If a small number of stock are washed at a time (say 20- 50), then water is wasted, since stock tend to crowd into the corner and only a portion (50-75%) of the spray capacity is utilised. (Eco-Efficiency Manual - section 2.2.4, pg. 28)"/>
        <s v="Limiting water use in casings washing. There is a tendency in some casings departments to leave water running unnecessarily. To avoid this, water supply can be controlled by interlocking the operation of the machine to a timer switch. Given that casings washing is occurring for 60% of the time that the machine is in operation, this could reduce water use by 40%."/>
        <s v="Water-efficient shower roses for edible offal washing. In many plants, standard shower roses are used at offal washing stations. More water efficient shower roses or spray nozzles could reduce the amount of water used for offal washing, while still maintaining effective washing."/>
        <s v="On/off control of flow for edible offal washing.  Through the use of more efficient shower roses and/or an on/off flow control device, water for edible offal washing can be reduced by 20%."/>
        <s v="If you have a steam system, check condensate return amount by measuring the chemical content in the hot well before chemical addition. If condensate return is below 60%, check that there are no major steam leaks or water leaks and review the business case for connecting remote steam users to the condensate return system."/>
        <s v="Conduct steam trap and system  review and fix leaks. The best approach is to employ an expert steam trap leak detection company to conduct investigations and fix the identified leaks. (Eco-Efficiency Manual - 3.3.3, p 63)"/>
        <s v="Ensure that your boiler maintenance contractors have checked and adjusted boiler air/fuel control to minimise energy losses. (Eco-Efficiency Manual - section 3.3.6, pg. 65)"/>
        <s v="Conduct after hours review of plant energy and water use using metering data. Investigate times when energy use is higher than expected to identify the equipment involved. Institute a manual or automatic control system/procedure to reduce unnecessary energy use.  "/>
        <s v="Optimise the existing power factor correction (PFC) system. Check that the PFC system is reading at least 0.95 and above at maximum demand peaks. "/>
        <s v="Identify and repair compressed air leaks . The best approach is to employ an expert compressed air leak detection company to conduct investigations and fix identified leaks. (Eco-Efficiency Manual - 3.3.6, pg. 81)"/>
        <s v="Review electricity demand cost and tariff charges for peak and off-peak electricity. Consider moving loads from peak periods into off-peak periods where electricity charges are cheaper. Review demand peaks and assess the options for reducing demand costs. "/>
        <s v="Automatic controls for hand washing (Eco-Efficiency Manual for Meat Processing - section 2.2.35, pg. 51-52)  "/>
        <s v="Install covered anaerobic lagoons (CALs) and capture biogas for boiler fuel. "/>
        <s v="Install biomass (including dried paunch) boiler for steam generation. This project is generally attractive if a low cost waste wood or other biomass source is available. Prices as low as a $3/GJ have been seen in the market (2017). The business case is based on the cost of biomass to be 10% to 20% of the LPG price and 20% to 30% of natural gas price. "/>
        <s v="Install a biomass boiler to generate steam and a steam turbine for electricity generation. The steam turbine offsets some or all of the electricity use on site and the remaining low pressure steam is used for hot water generation and, if applicable, in the rendering plant."/>
        <s v="Consider installation of solar PV array on a floating platform using the wastewater ponds. "/>
        <s v="Consider the installation of solar PV electricity generation. "/>
        <s v="Install wind turbine(s) if you have sufficient land along side your plant operation. The first step is to assess the wind speeds and duration of wind in your area. "/>
        <s v="Install combined heat and power (CHP) plant (cogeneration or trigeneration) using an existing fuel source. "/>
        <s v="Dry dumping of paunch contents" u="1"/>
        <s v="Automatic controls for hand washing (Eco-Efficiency Manual for Meat Processing - section 2.2.35, pg 51-52)  " u="1"/>
        <s v="Conductivity controlled blowdown on cooling towers. For a typical plant that has continuous blowdown, cooling water makeup could be reduced by around 50% by installing automatic blowdown controls." u="1"/>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u="1"/>
        <s v="De-dagging to minimise stock washing. If stock (cattle) are washed at the feedlot and received and maintained in a clean state at the meat processing plant, then washing could be minimised. Instead some form of de-dagging could be undertaken to ensure that the opening line is clean. (Eco-Efficiency Manual for Meat Processing - section 2.2.5, pg 28-29) " u="1"/>
        <s v="Install or upgrade power factor correction.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itng PFC or install new PFC. " u="1"/>
        <s v="Fuel switch hot water heating for the shrink tunnel. " u="1"/>
        <s v="Optimise existing power factor correction system. Check that the PFC system is readng at least 0.95 and above at maximum demand peaks. " u="1"/>
        <s v="Sensor control of automatic carcase washing. Sensors that detect the presence of a carcase can avoid unnecessary water use. Sensor control could be expected to reduce water use by 30-50%. (Eco-Efficiency Manual for Meat Processing - section 2.2.18, pg 39-40)" u="1"/>
        <s v="Maximise condensate recovery in steam distribution systems. Improving condensate recovery reduces the amount of water used as boiler feed, and reduces chemicals use due to the reduced amount of boiler feed water requiring pre-treatment." u="1"/>
        <s v="If you have a steam system, check condensate return amount by measuring the chemical content in the hot well before chemical addition. If condensate retunr is below 60%, check that there are no major steam leaks or water leaks and review the business case for connecting remote steam users to the condensate return system." u="1"/>
        <s v="Maximise condensate recovery in steam distribution systems. Improving condensate recovery reduces the amount of water used as boiler feed, and reduces chemicals use due to the reduced amount of boiler feed water requiring pre-treatment. (Eco-Efficiency Manual for Meat Processing - section 2.2.36, pg 52-53) "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_x000a_sensors or a limiting switch so that the water flows intermittently instead of continuously."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u="1"/>
        <s v="Install speed control on vacuum systems in the boning room and kill floor. (Eco-Efficiency Manual - 3.6.9, pg 83)" u="1"/>
        <s v="Conduct steam trap and system system review and fix leaks. The best approach is to employ an expert steam trap leak detection company to conduct investigations and fix the identified leaks. (Eco-Efficiency Manual - 3.3.3, p 63)" u="1"/>
        <s v="Floor cleaning machines for large areas" u="1"/>
        <s v="Floor cleaning machines for large areas (Eco-Efficiency Manual for Meat Processing - section 2.2.33, pg 50) " u="1"/>
        <s v="Install energy and water flow meters for major loads and monitor use via a central process control system or web based system." u="1"/>
        <s v="Refrigeration variable head pressure and condenser fan speed control. Variable Head Pressure Control (VHPC) provides a good bsuiness case in regions with low night and winter temperatures. This option may not be suitable for warmer regions. " u="1"/>
        <s v="Identify and repair compressed air leaks . Best approach is to employ an expert compressed air leak detection company to conduct investigations and fix the identified leaks." u="1"/>
        <s v="Identify and repair compressed air leaks . The best approach is to employ an expert compressed air leak detection company to conduct investigations and fix identified leaks." u="1"/>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Eco-Efficiency Manual for Meat Processing - section 2.2.30, pg 48)" u="1"/>
        <s v="Water sprays on splitting saws to reduce bone dust and reduce carcase washing. Fitting a water spray kit to a splitting saw would reduce water use for carcase washing by 50% compared with a full carcase wash." u="1"/>
        <s v="On/off controls for cooling water on breaking saws. Water use to breaking saws can be reduced by 50% through the installation of an on/off switch. (Eco-Efficiency Manual for Meat Processing - section 2.2.20, pg 41)  " u="1"/>
        <s v="High-pressure water ring main for cleaning. This opportunity assumes that pressurised water could be used for 75% of end-of-day plant cleaning, with a conservative reduction in water use of 40%. There would also be energy savings as about 40% of the water used for cleaning is hot." u="1"/>
        <s v="Install or upgrade power factor correction (PFC) equipment.  Check that the electricity tariff has a power factor charge ($/kVA). Often the power factor reading  for the highest demand kVA is available on the monthly invoice (check with electricity supplier if in doubt). Check that power factor is above 0.95. If it is below 0.95 there may be a need to upgrade exisitng PFC equipment or install new PFC equipment. " u="1"/>
        <s v="Where electric steam boiler is used for sterlisation switch to fuel fired hot water generation. " u="1"/>
        <s v="Review tariff for electricity. New electricity network tariffs are available each year. Some elecricity suppliers will conduct a review of tariffs to ensure that lowest costs are achieved. If a tariff has not been conducted for a few years, it is good idea to get an expeert ot check that the bext tariff is being applied. " u="1"/>
        <s v="Install biomass boiler for steam generation. This project is generally attractive if a low cost waste wood or other biomas is available. Prices as low as a $3/GJ have been seen in the market (2017). The business case is based on the cost of biomass to be 10% to 20% of the LPG price and 20% to 30% of natural gas price. " u="1"/>
        <s v="Efficient continuous flow sterilisers" u="1"/>
        <s v="Review electricity network tariff. New electricity network tariffs are available each year. Some electricity suppliers will conduct a review of tariffs to ensure that the lowest costs for end users are achieved. If a network tariff review has not been conducted for a few years, the consumption patterns of the site may have changed and the current tariff may not be the most cost effective. Consider getting an expert to ensure accounts are on the lowest cost tariff." u="1"/>
        <s v="Install biomass boiler to generate steam and a steam turbine for power generation. Low pressure steam is then used for hot water generation and rendering plant." u="1"/>
        <s v="Improved dry cleaning practices prior to wash down. Dry cleaning of plant and equipment prior to wash down is practiced widely in the industry, however there may still be room for improvement at various times. Operator training is a key factor in achieving good dry cleaning, however making the dry cleaning process easier for operators may help maintain good performance. Industrial vacuum cleaners for easier collection of solids and transfer to rendering may be worth considering. Typically water use for cleaning can be reduced by 20—30% by using good dry cleaning practices (March Consulting Group, 1998 and Walford et al, 1994)." u="1"/>
        <s v="Switch from electric heating to hot water heating for the shrink tunnel. " u="1"/>
        <s v="Review electrcity demand cost and tariff charges for peak and off-peak electricity. Consider moving loads from peak periods into off-peak periods where electricity charges are cheaper. Review demand peaks and assess the options for reducing demand costs. " u="1"/>
        <s v="Suspended mesh flooring in stockyards" u="1"/>
        <s v="Conduct steam trap and system system review and fix leaks. The best approach is to employ an expert steam trap leak detection company to conduct investigations and fix the identified leaks." u="1"/>
        <s v="Install biomass boiler for steam generation. This project is generally attractive if a low cost waste wood or other biomass source is available. Prices as low as a $3/GJ have been seen in the market (2017). The business case is based on the cost of biomass to be 10% to 20% of the LPG price and 20% to 30% of natural gas price. " u="1"/>
        <s v="Automatic washers for tubs, cutting boards and trays. An automatic washing machine used for washing tubs, cutting boards and trays, can reduce water use by up to 95%. (Eco-Efficiency Manual for Meat Processing - section 2.2.32, pg 50)  " u="1"/>
        <s v="Combined heat and power (CHP) plant (cogeneration or trigeneration) using existing fuel source . " u="1"/>
        <s v="Efficient water use in tripe and bible washing machines. Water use for tripe / bible washing can be reduced by 25% through better flow control or a more efficient machine. (Eco-Efficiency Manual for Meat Processing - section 2.2.24, pg 44)  " u="1"/>
        <s v="Conduct steam trap and system system review and fix leaks. Best approach is to employ an expert steam trap leak detection company to conduct investigations and fix the identified leaks." u="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Eco-Efficiency Manual for Meat Processing - section 2.2.2, pg 26-27) " u="1"/>
        <s v="Compressor Staging and Capacity Control. This opportunity is appliable to multiple refrigeration compressor installations. " u="1"/>
        <s v="Water efficient gut washing systems (Eco-Efficiency Manual for Meat Processing - section 2.2.26, pg 45) " u="1"/>
        <s v="Optimise the existing power factor correction (PFC) system. Check that the PFC system is readng at least 0.95 and above at maximum demand peaks. " u="1"/>
        <s v="Minimising receipt of very dirty stock (Eco-Efficiency Manual for Meat Processing - section 2.2.3, pg 28) " u="1"/>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u="1"/>
        <s v="Upgrade boiler controls with oxygen trim control. To check boiler performance, test the oxygen levels in the flue gases at low, medium amd high loads. If the oxygen readings are above 5% for high loads and/or over 10% for low loads consider oxygen trim control." u="1"/>
        <s v="Combined heat and power (CHP) plant (cogeneration or trigeneration) using existing fuel source. " u="1"/>
        <s v="Conduct after hours review of plant energy and water use using metering data. Investigate times when energy use is higher than expected to identify the equipment involved. Institute a manual or automatice control system/procedure to reduce unnecessary enegry use.  " u="1"/>
        <s v="Review electrcity demand cost and tariff charges for peak and off-peak electricity. Consider moving loads form peak periods into off-peak periods where charges are cheaper. Review demand peaks and assess the options for reducing demand costs. " u="1"/>
        <s v="High-pressure water ring main for cleaning. Assuming that pressurised water could be used for 75% of end-of-day plant cleaning with a conservative reduction in water use of 40%. There would also be savings in energy since about 40% of the water used for cleaning is hot." u="1"/>
        <s v="De-dagging to minimise stock washing. If stock (cattle) are washed at the feedlot and received and maintained in a clean state at the meat processing plant, then washing could be minimised. Instead some form of de-dagging could be undertaken to ensure that the opening line is clean." u="1"/>
        <s v="Sensor control of automatic carcase washing. Sensors that detect the presence of a carcase can avoid unnecessary water use. Sensor control could be expected to reduce water use by 30-50%." u="1"/>
        <s v="Timers on water taps. For some cleaning jobs, water may be wasted because hoses or taps are left on_x000a_unnecessarily. Careful observation of cleaning practices will identify where this is occurring,_x000a_and then timers can be installed to stop the flow of water after a set period of time." u="1"/>
        <s v="Water efficient gut washing systems" u="1"/>
        <s v="Set and maintain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Eco-Efficiency Manual for Meat Processing - section 2.2.10, pg 32) " u="1"/>
        <s v="Setting and maintaining minimum flow rates for viscera table wash sprays. If flow rates of water to viscera table wash sprays are found by trial to be excessive, reducing consumption by 20% is possible. The correct selection and maintenance of nozzles on the wash sprays can also have a bearing on the flow rate." u="1"/>
        <s v="Extend energy and water monitoring system to provide online alarms and SMS alerts available remotely" u="1"/>
        <s v="Efficient continuous flow sterilisers (Eco-Efficiency Manual for Meat Processing - section 2.2.13, pg 33) " u="1"/>
        <s v="Install boiler blowdown heat recovery . Assess how much blowdown is being sent to drain based on total dissolved solids (TDS) levels and the TDS level in the feedwater. " u="1"/>
        <s v="Install a refrigeration heat recovery system to supplement hot water supply. This opportunity applies when additional hot water is required and there is sufficient hot watewr storage to ensure that hot water is not sent to drain. " u="1"/>
        <s v="Upgrade boiler controls with oxygen trim control. Test the oxygen levels in the flue gases at low, medium amd high loads. If the oxygen readings are above 5% for high loads and/or over 10% for low loads consider oxygen trim control." u="1"/>
        <s v="Fitting efficient spray nozzles. This opportunity is based on assuming that 55% of total water use is related to hose use, and that a conservative 10% reduction in water use can be achieved from the improved selection and maintenance of spray nozzles. (Eco-Efficiency Manual for Meat Processing - section 2.2.1, pg 25-26)  " u="1"/>
        <s v="Ensure that your boiler maintenance contractors have checked and adjusted boiler air/fuel control to minimise energy losses. (Eco-Efficiency Manual - section 3.3.6, pg 65)" u="1"/>
        <s v="Install combined heat and power (CHP) plant (cogeneration or trigeneration) using existing fuel source. " u="1"/>
        <s v="Centralised control of water supplies. If turning off individual water supplies on the production line at breaks is delayed by_x000a_around five minutes each time, then centralised control of water supply could save up to_x000a_30 minutes of water flow in a production day (assuming six breaks per day)." u="1"/>
        <s v="Centralised control of water supplies. If turning off individual water supplies on the production line at breaks is delayed by around five minutes each time, then centralised control of water supply could save up to 30 minutes of water flow in a production day (assuming six breaks per day)." u="1"/>
        <s v="Avoiding under utilisation of spray capacity for stock washing.  Some meat plants have large pens capable of holding 50-100 head (cattle), with floormounted and possibly overhead jets covering the entire area. If a small number of stock are washed at a time (say 20- 50), then water is wasted, since stock tend to crowd into the corner and only a portion (50-75%) of the spray capacity is utilised." u="1"/>
        <s v="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 u="1"/>
        <s v="Install a heat recovery system on the air compressor oil cooling circuit to produce hot water suitbale for process cleaning (tmeperatures up to 70 degrees C). This opportunity may not be applicable if the plant already has enough hot water or there is insufficient hot water storage." u="1"/>
        <s v="Install speed control on boning room and kill floor vacuum systems . " u="1"/>
        <s v="Create covered anaerobic lagoons (CALs) and capture biogas for boiler fuel. " u="1"/>
        <s v="Fitting efficient spray nozzles. This opportunity business case is based on assuming that 55% of total water use is related to hose use, and that a conservative 10% reduction in water use can be achieved from the improved selection and maintenance of spray nozzles." u="1"/>
        <s v="Switch from electric heating to hot water heating for sterlisers. " u="1"/>
        <s v="Fitting efficient spray nozzles. This opportunity is based on assuming that 55% of total water use is related to hose use, and that a conservative 10% reduction in water use can be achieved from the improved selection and maintenance of spray nozzles." u="1"/>
        <s v="Automatic controls for hand washing" u="1"/>
        <s v="Maximise condensate recovery in steam distribution systems. Improving condensate recovery reduces the amount of water used as boiler feed, and reduces chemicals use due to the reduced amount of boiler feed water._x000a_requiring pre-treatment." u="1"/>
        <s v="Minimising receipt of very dirty stock" u="1"/>
        <s v="Flow control on continuous flow sterilisers" u="1"/>
        <s v="Limiting water use in casings washing. There is a tendency in some casings departments to leave water running unnecessarily. To avoid this, water supply can be controlled by interlocking the operation of the machine to a timer switch. Given that casings washing is occurring for 60% of the time that the machine is in operation, this could reduce water use by 40%" u="1"/>
        <s v="Avoiding under utilisation of spray capacity for stock washing.  Some meat plants have large pens capable of holding 50-100 head (cattle), with floormounted and possibly overhead jets covering the entire area. If a small number of stock are washed at a time (say 20- 50), then water is wasted, since stock tend to crowd into the corner and only a portion (50-75%) of the spray capacity is utilised. (Eco-Efficiency Manual - section 2.2.4, pg 28)" u="1"/>
        <s v="On/off controls for cooling water on breaking saws. Water use to breaking saws can be reduced by 50% through the installation of an on/off switch." u="1"/>
        <s v="Install wind turbine if you have sufficient land along side your plant operation. First step is to assess the wind speeds and duration of wind in your area. " u="1"/>
        <s v="Efficient water use in tripe and bible washing machines. Water use for tripe / bible washing can be reduced by 25% through better flow control or a more efficient machine." u="1"/>
        <s v="Rainwater harvesting. For those plants in urban areas that purchase municipal treated water from local councils or water boards, some savings can be made by supplementing water supplies with rainwater collected from roof surfaces. (Eco-Efficiency Manual for Meat Processing - section 2.4.1, pg 56) " u="1"/>
        <s v="Refrigeration variable head pressure and condenser fan speed control. VHPC provides a good bsuiness case in regions with low night and winter temperatures. This option may not be suitable for warmer regions. " u="1"/>
        <s v="Install a condensing economiser on one or boilers.  This project may be feasible if you have a need to generate additional hot water from steam or hot water boiler. There may be a need to install additional hot water storage to capture the hot water generated from the condensing economiser." u="1"/>
        <s v="Extend energy and water monitoring system to provide online alarms and SMS alerts available remotely." u="1"/>
        <s v="Install additional hot water storage if clean hot water is being sent to drainafter heat recovery from the rendering plant." u="1"/>
        <s v="Ensure that your boiler maintenance contractors have checked and adjusted boiler air/fuel control to minimise energy losses." u="1"/>
        <s v="High-pressure water ring main for cleaning. This opportunity assumes that pressurised water could be used for 75% of end-of-day plant cleaning, with a conservative reduction in water use of 40%. There would also be energy savings as about 40% of the water used for cleaning is hot. (Eco-Efficiency Manual for Meat Processing - section 2.2.31, pg 49)  " u="1"/>
        <s v="Install speed control on vacuum systems in the boning room and kill floor." u="1"/>
        <s v="Install wind turbine if you have sufficient land along side your plant operation. The first step is to assess the wind speeds and duration of wind in your area. " u="1"/>
        <s v="Rainwater harvesting. For those plants in urban areas that purchase municipal treated water from local councils or water boards, some savings can be made by supplementing water supplies with rainwater collected from roof surfaces." u="1"/>
        <s v="Switch from electric heating to hot water heating for sterilisers. " u="1"/>
        <s v="Dry dumping of paunch contents (Eco-Efficiency Manual for Meat Processing - section 2.2.23, pg 43-44)" u="1"/>
        <s v="Automatic washers for tubs, cutting boards and trays. An automatic washing machine used for washing tubs, cutting boards and trays, can reduce water use by up to 95%." u="1"/>
        <s v="Water sprays on splitting saws to reduce bone dust and reduce carcase washing. Fitting a water spray kit to a splitting saw would reduce water use for carcase washing by 50% compared with a full carcase wash.  (Eco-Efficiency Manual for Meat Processing - section 2.2.19, pg 41) " u="1"/>
        <s v="Suspended mesh flooring in stockyards  (Eco-Efficiency Manual for Meat Processing - section 2.2.8, pg 30) " u="1"/>
        <s v="If there is an old blood dryer such as a ring dryer. Consider replacing with modern quad pass rotary dryer." u="1"/>
        <s v="Identify and repair compressed air leaks . The best approach is to employ an expert compressed air leak detection company to conduct investigations and fix identified leaks. (Eco-Efficiency Manual - 3.3.6, pg 81)" u="1"/>
        <s v="Flow control on continuous flow sterilisers (Eco-Efficiency Manual for Meat Processing - section 2.2.14, pg 36-37)" u="1"/>
        <s v="Conductivity controlled blowdown on cooling towers. For a typical plant that has continuous blowdown, cooling water makeup could be reduced by around 50% by installing automatic blowdown controls. (Eco-Efficiency Manual for Meat Processing - section 2.2.37, pg 53)  " u="1"/>
        <s v="Dry cleaning manure from stockyards before washing. Dry cleaning is the removal of the bulk of the solid manure from the yards before washing with water. This can potentially reduce the amount of water used by around 20-30% (March Consulting Group, 1998 and Walford et al, 1994). The practicality of dry cleaning will depend on how the stockyards are constructed and may not be possible for some stockyards. (Eco-Efficiency Manual for Meat Processing - section 2.2.6, pg 29)  " u="1"/>
      </sharedItems>
    </cacheField>
    <cacheField name="area of saving-Water" numFmtId="0">
      <sharedItems containsBlank="1"/>
    </cacheField>
    <cacheField name="area of saving-Steam" numFmtId="0">
      <sharedItems containsBlank="1"/>
    </cacheField>
    <cacheField name="area of saving-Water heating" numFmtId="0">
      <sharedItems containsBlank="1"/>
    </cacheField>
    <cacheField name="area of saving-Electricity" numFmtId="0">
      <sharedItems containsBlank="1"/>
    </cacheField>
    <cacheField name="area of saving-Emissions" numFmtId="0">
      <sharedItems/>
    </cacheField>
    <cacheField name="area of saving-Wastewater" numFmtId="0">
      <sharedItems containsNonDate="0" containsString="0" containsBlank="1"/>
    </cacheField>
    <cacheField name="Consider Opportunity?-water" numFmtId="0">
      <sharedItems count="5">
        <b v="1"/>
        <b v="0"/>
        <s v=""/>
        <e v="#DIV/0!" u="1"/>
        <e v="#VALUE!" u="1"/>
      </sharedItems>
    </cacheField>
    <cacheField name="Consider Opportunity?-thermal" numFmtId="0">
      <sharedItems count="5">
        <s v=""/>
        <b v="1"/>
        <b v="0"/>
        <e v="#DIV/0!" u="1"/>
        <e v="#VALUE!" u="1"/>
      </sharedItems>
    </cacheField>
    <cacheField name="Consider Opportunity?-elec" numFmtId="0">
      <sharedItems count="5">
        <s v=""/>
        <b v="0"/>
        <b v="1"/>
        <e v="#DIV/0!" u="1"/>
        <e v="#VALUE!" u="1"/>
      </sharedItems>
    </cacheField>
    <cacheField name="Consider Opportunity?-overall" numFmtId="0">
      <sharedItems/>
    </cacheField>
    <cacheField name="Questionnaire trigger(s)-What facility required?" numFmtId="0">
      <sharedItems/>
    </cacheField>
    <cacheField name="Questionnaire trigger(s)-Has Facility? T/F" numFmtId="0">
      <sharedItems/>
    </cacheField>
    <cacheField name="Questionnaire trigger(s)-Minimum tHSCW output required?" numFmtId="0">
      <sharedItems/>
    </cacheField>
    <cacheField name="Questionnaire trigger(s)-Meets production requirement? T/F" numFmtId="0">
      <sharedItems/>
    </cacheField>
    <cacheField name="% of total site usage saved-thermal (site /w rendering)" numFmtId="9">
      <sharedItems containsString="0" containsBlank="1" containsNumber="1" minValue="-0.5" maxValue="1"/>
    </cacheField>
    <cacheField name="% of total site usage saved-thermal (site w/o rendering)" numFmtId="9">
      <sharedItems containsString="0" containsBlank="1" containsNumber="1" minValue="-0.3" maxValue="1"/>
    </cacheField>
    <cacheField name="% of total site usage saved-elec" numFmtId="9">
      <sharedItems containsString="0" containsBlank="1" containsNumber="1" minValue="-2.0000000000000002E-5" maxValue="1"/>
    </cacheField>
    <cacheField name="% of total site usage saved-water" numFmtId="9">
      <sharedItems containsString="0" containsBlank="1" containsNumber="1" minValue="5.0000000000000001E-4" maxValue="0.1"/>
    </cacheField>
    <cacheField name="typical payback (years)-lower" numFmtId="164">
      <sharedItems containsSemiMixedTypes="0" containsString="0" containsNumber="1" minValue="0" maxValue="6"/>
    </cacheField>
    <cacheField name="typical payback (years)-mid" numFmtId="164">
      <sharedItems containsSemiMixedTypes="0" containsString="0" containsNumber="1" minValue="0.1" maxValue="6"/>
    </cacheField>
    <cacheField name="typical payback (years)-upper" numFmtId="164">
      <sharedItems containsSemiMixedTypes="0" containsString="0" containsNumber="1" minValue="0.2" maxValue="10"/>
    </cacheField>
    <cacheField name="Other net saving as a multiplier of total commodity savings" numFmtId="164">
      <sharedItems containsSemiMixedTypes="0" containsString="0" containsNumber="1" minValue="1" maxValue="2"/>
    </cacheField>
    <cacheField name="back-calculated saving _x000a_( [GJ] / year )-thermal" numFmtId="171">
      <sharedItems containsSemiMixedTypes="0" containsString="0" containsNumber="1" minValue="-97500" maxValue="195000"/>
    </cacheField>
    <cacheField name="back-calculated saving _x000a_( [kWh] / year )-elec" numFmtId="171">
      <sharedItems containsSemiMixedTypes="0" containsString="0" containsNumber="1" containsInteger="1" minValue="-280" maxValue="14000000"/>
    </cacheField>
    <cacheField name="back-calculated saving _x000a_( [kL] / year )-water" numFmtId="171">
      <sharedItems containsSemiMixedTypes="0" containsString="0" containsNumber="1" minValue="0" maxValue="60000"/>
    </cacheField>
    <cacheField name="back-calculated default saving ($ / yr)-thermal" numFmtId="172">
      <sharedItems containsSemiMixedTypes="0" containsString="0" containsNumber="1" minValue="-123999.99999999999" maxValue="247999.99999999997"/>
    </cacheField>
    <cacheField name="back-calculated default saving ($ / yr)-elec" numFmtId="172">
      <sharedItems containsSemiMixedTypes="0" containsString="0" containsNumber="1" minValue="-43" maxValue="2150000"/>
    </cacheField>
    <cacheField name="back-calculated default saving ($ / yr)-water" numFmtId="172">
      <sharedItems containsSemiMixedTypes="0" containsString="0" containsNumber="1" minValue="0" maxValue="232500"/>
    </cacheField>
    <cacheField name="back-calculated default saving ($ / yr)-net other" numFmtId="172">
      <sharedItems containsSemiMixedTypes="0" containsString="0" containsNumber="1" containsInteger="1" minValue="0" maxValue="2480"/>
    </cacheField>
    <cacheField name="back-calculated default saving ($ / yr)-Total" numFmtId="172">
      <sharedItems containsSemiMixedTypes="0" containsString="0" containsNumber="1" minValue="1162.5" maxValue="2224400"/>
    </cacheField>
    <cacheField name="back-calculated adjusted CAPEX" numFmtId="172">
      <sharedItems containsSemiMixedTypes="0" containsString="0" containsNumber="1" minValue="124" maxValue="11122000"/>
    </cacheField>
    <cacheField name="back-calculated actual saving ($ / yr)-thermal" numFmtId="172">
      <sharedItems containsSemiMixedTypes="0" containsString="0" containsNumber="1" minValue="-123999.99999999999" maxValue="247999.99999999997"/>
    </cacheField>
    <cacheField name="back-calculated actual saving ($ / yr)-elec" numFmtId="172">
      <sharedItems containsSemiMixedTypes="0" containsString="0" containsNumber="1" minValue="-43" maxValue="2150000"/>
    </cacheField>
    <cacheField name="back-calculated actual saving ($ / yr)-water" numFmtId="172">
      <sharedItems containsSemiMixedTypes="0" containsString="0" containsNumber="1" minValue="0" maxValue="232500"/>
    </cacheField>
    <cacheField name="back-calculated actual saving ($ / yr)-net other" numFmtId="172">
      <sharedItems containsSemiMixedTypes="0" containsString="0" containsNumber="1" containsInteger="1" minValue="0" maxValue="2480"/>
    </cacheField>
    <cacheField name="back-calculated actual saving ($ / yr)-Total" numFmtId="172">
      <sharedItems containsSemiMixedTypes="0" containsString="0" containsNumber="1" minValue="1162.5" maxValue="2224400"/>
    </cacheField>
    <cacheField name="adjusted payback (years)-lower" numFmtId="164">
      <sharedItems containsSemiMixedTypes="0" containsString="0" containsNumber="1" minValue="7.5000000000000011E-2" maxValue="4.5"/>
    </cacheField>
    <cacheField name="adjusted payback (years)-mid" numFmtId="164">
      <sharedItems containsSemiMixedTypes="0" containsString="0" containsNumber="1" minValue="0.1" maxValue="6"/>
    </cacheField>
    <cacheField name="adjusted payback (years)-upper" numFmtId="164">
      <sharedItems containsSemiMixedTypes="0" containsString="0" containsNumber="1" minValue="0.125" maxValue="7.5"/>
    </cacheField>
    <cacheField name="Has zero savings?" numFmtId="172">
      <sharedItems/>
    </cacheField>
    <cacheField name="Passes the payback threshold?" numFmtId="164">
      <sharedItems/>
    </cacheField>
    <cacheField name="Scope 1 saving" numFmtId="3">
      <sharedItems containsSemiMixedTypes="0" containsString="0" containsNumber="1" minValue="-5024.1750000000002" maxValue="10048.35"/>
    </cacheField>
    <cacheField name="Scope 2 saving" numFmtId="3">
      <sharedItems containsSemiMixedTypes="0" containsString="0" containsNumber="1" minValue="-0.27439999999999998" maxValue="13720"/>
    </cacheField>
    <cacheField name="Total emissions saving" numFmtId="3">
      <sharedItems containsSemiMixedTypes="0" containsString="0" containsNumber="1" minValue="0" maxValue="16734.505000000001"/>
    </cacheField>
    <cacheField name="Present to user? T/F" numFmtId="164">
      <sharedItems count="2">
        <b v="0"/>
        <b v="1"/>
      </sharedItems>
    </cacheField>
    <cacheField name="Hyperlink to URL" numFmtId="0">
      <sharedItems containsBlank="1" count="39">
        <s v="https://www.ecoefficiencygroup.com.au/wp-content/uploads/2017/11/ecomeat_manual.pdf "/>
        <s v="https://www.ampc.com.au/2013/01/Reuse-of-water-in-Tripe-processing "/>
        <m/>
        <s v="https://www.sustainability.vic.gov.au/-/media/SV/Publications/Business/Efficient-business-operations/Energy-efficiency-for-business/Energy-efficiency-best-practice-guidelines/SRSB-BPG-Heating-Manual-Mar-2015.pdf?la=en "/>
        <s v="https://www.environment.nsw.gov.au/resources/business/IndustrialRefrigerationTechnologyReport.pdf "/>
        <s v="https://www.environment.nsw.gov.au/resources/business/compressed-air-guide-170257.pdf "/>
        <s v="http://www.ampc.com.au/2015/07/Efficient-lighting-options-and-review-of-lighting-standards-for-abattoirs"/>
        <s v="https://www.ampc.com.au/2010/07/Heat-Recovery-From-Refrigeration-Plant "/>
        <s v="https://www.sustainability.vic.gov.au/Business/Energy-efficiency-for-business/Business-energy-efficiency/Energy-efficiency-best-practice-guidelines "/>
        <s v="https://www.ampc.com.au/2011/09/Using-Covered-Anaerobic-Ponds-to-Treat-Abattoir-Wastewater-Reduce-Greenhouse-Gases-and-Generate-Bio-Energy "/>
        <s v="https://www.ampc.com.au/2010/08/Use-of-Paunch-Waste-as-a-Boiler-Fuel "/>
        <s v="https://www.ampc.com.au/uploads/cgblog/id151/ENV_2010_Economic_&amp;_technical_potential_ENV.0102-final-report1.pdf "/>
        <s v="https://rohanhamden.com.au/assets/1613-Floating-Solar-brochure-WEB.pdf "/>
        <s v="https://www.ampc.com.au/2014/03/Extension-guide-Renewable-Energy-and-Energy-Storage-Technologies-Applicable-to-Red-Meat-Processing-Manufacturing-businesses "/>
        <s v="https://www.ampc.com.au/uploads/pdf/Environment-Sustainability/2016-1002-Final-Report-Investigation-Into-Modular-Micro-Turbine-Cogenerators.pdf "/>
        <s v="http://www.amic.org.au/SiteMedia/W3SVC116/Uploads/Documents/The%20Business%20Case%20for%20Wind%20Turbines.pdf " u="1"/>
        <s v="http://www.environment.nsw.gov.au/business/financing-compressors.htm " u="1"/>
        <s v="http://www.ampc.com.au/2014/03/Extension-guide-Renewable-Energy-and-Energy-Storage-Technologies-Applicable-to-Red-Meat-Processing-Manufacturing-businesses " u="1"/>
        <s v="http://www.ampc.com.au/2011/09/Using-Covered-Anaerobic-Ponds-to-Treat-Abattoir-Wastewater-Reduce-Greenhouse-Gases-and-Generate-Bio-Energy" u="1"/>
        <s v="http://www.amic.org.au/SiteMedia/W3SVC116/Uploads/Documents/Economisers%20&amp;%20Air%20Preheaters%20on%20Boilers.pdf " u="1"/>
        <s v="http://www.ampc.com.au/2010/12/Economic-and-technical-potential-for-cogeneration-in-industry" u="1"/>
        <s v="http://www.amic.org.au/SiteMedia/W3SVC116/Uploads/Documents/Compressor%20Staging%20&amp;%20Capacity%20Control.pdf " u="1"/>
        <s v="https://www.environment.nsw.gov.au/resources/business/110302-industrial-refrigeration-tech-rpt.pdf " u="1"/>
        <s v="http://www.amic.org.au/SiteMedia/W3SVC116/Uploads/Documents/The%20Business%20Case%20for%20Smart%20Metering.pdf " u="1"/>
        <s v="http://www.amic.org.au/SiteMedia/W3SVC116/Uploads/Documents/Screw%20Compressor%20Wear.pdf " u="1"/>
        <s v="http://www.amic.org.au/SiteMedia/W3SVC116/Uploads/Documents/Fan%20Energy%20Savings%20in%20Carcass%20Chillers%20&amp;%20Freezers.pdf " u="1"/>
        <s v="https://www.sustainability.vic.gov.au/Business/Efficient-business-operations/Energy-efficiency-for-business/Energy-efficiency-best-practice-guidelines " u="1"/>
        <s v="https://www.ampc.com.au/2014/03/Extension-guide-Renewable-Energy-and-Energy-Storage-Technologies-Applicable-to-Red-Meat-Processing-Manufacturing-businesses" u="1"/>
        <s v="http://www.amic.org.au/SiteMedia/W3SVC116/Uploads/Documents/The%20Business%20Case%20for%20Peak%20Demand%20Mgmt.pdf " u="1"/>
        <s v="http://www.amic.org.au/SiteMedia/W3SVC116/Uploads/Documents/The%20Business%20Case%20for%20Biomass%20Boilers.pdf " u="1"/>
        <s v="http://www.ampc.com.au/2017/04/Investigation-into-Modular-Micro-Turbines-Cogenerators" u="1"/>
        <s v="https://www.carbontrust.com/media/147009/j7967_ctl166_how_to_recover_heat_from_a_compressed_air_system_aw.pdf " u="1"/>
        <s v="http://www.ampc.com.au/2010/12/Economic-and-technical-potential-for-cogeneration-in-industry_x000a_http://www.ampc.com.au/2017/04/Investigation-into-Modular-Micro-Turbines-Cogenerators" u="1"/>
        <s v="https://www.ampc.com.au/2010/08/Use-of-Paunch-Waste-as-a-Boiler-Fuel" u="1"/>
        <s v="http://www.ecoefficiency.com.au/Portals/56/factsheets/foodprocess/meat/ecomeat_manual.pdf " u="1"/>
        <s v="http://www.amic.org.au/SiteMedia/W3SVC116/Uploads/Documents/Energy%20Efficient%20Steam%20Generation.pdf" u="1"/>
        <s v="http://www.ampc.com.au/2010/07/Heat-Recovery-From-Refrigeration-Plant" u="1"/>
        <s v="http://www.amic.org.au/SiteMedia/W3SVC116/Uploads/Documents/Variable%20Head%20Pressure%20Control.pdf " u="1"/>
        <s v="Reports - Reuse of water in Tripe processing (3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s v="Improve process technology"/>
    <x v="0"/>
    <s v="yes"/>
    <m/>
    <m/>
    <m/>
    <s v="yes"/>
    <m/>
    <x v="0"/>
    <x v="0"/>
    <x v="0"/>
    <b v="1"/>
    <s v="nil"/>
    <b v="1"/>
    <s v="not applied"/>
    <b v="1"/>
    <m/>
    <m/>
    <m/>
    <n v="5.000000000000001E-3"/>
    <n v="3"/>
    <n v="4"/>
    <n v="5"/>
    <n v="1"/>
    <n v="0"/>
    <n v="0"/>
    <n v="3000.0000000000005"/>
    <n v="0"/>
    <n v="0"/>
    <n v="11625.000000000002"/>
    <n v="0"/>
    <n v="11625.000000000002"/>
    <n v="46500.000000000007"/>
    <n v="0"/>
    <n v="0"/>
    <n v="11625.000000000002"/>
    <n v="0"/>
    <n v="11625.000000000002"/>
    <n v="3"/>
    <n v="4"/>
    <n v="5"/>
    <b v="0"/>
    <x v="0"/>
    <n v="0"/>
    <n v="0"/>
    <n v="0"/>
    <b v="0"/>
    <s v="https://www.ecoefficiencygroup.com.au/wp-content/uploads/2017/11/ecomeat_manual.pdf "/>
  </r>
  <r>
    <s v="Install efficient equipment"/>
    <x v="1"/>
    <s v="yes"/>
    <m/>
    <m/>
    <m/>
    <s v="yes"/>
    <m/>
    <x v="0"/>
    <x v="0"/>
    <x v="0"/>
    <b v="1"/>
    <s v="nil"/>
    <b v="1"/>
    <s v="not applied"/>
    <b v="1"/>
    <m/>
    <m/>
    <m/>
    <n v="3.0000000000000002E-2"/>
    <n v="0.2"/>
    <n v="0.3"/>
    <n v="0.4"/>
    <n v="1"/>
    <n v="0"/>
    <n v="0"/>
    <n v="18000"/>
    <n v="0"/>
    <n v="0"/>
    <n v="69750"/>
    <n v="0"/>
    <n v="69750"/>
    <n v="20925"/>
    <n v="0"/>
    <n v="0"/>
    <n v="69750"/>
    <n v="0"/>
    <n v="69750"/>
    <n v="0.22499999999999998"/>
    <n v="0.3"/>
    <n v="0.375"/>
    <b v="0"/>
    <x v="1"/>
    <n v="0"/>
    <n v="0"/>
    <n v="0"/>
    <b v="1"/>
    <s v="https://www.ampc.com.au/2013/01/Reuse-of-water-in-Tripe-processing "/>
  </r>
  <r>
    <s v="Improve housekeeping"/>
    <x v="2"/>
    <s v="yes"/>
    <m/>
    <m/>
    <m/>
    <s v="yes"/>
    <m/>
    <x v="1"/>
    <x v="0"/>
    <x v="0"/>
    <b v="0"/>
    <s v="nil"/>
    <b v="1"/>
    <s v="not applied"/>
    <b v="1"/>
    <m/>
    <m/>
    <m/>
    <n v="1.2000000000000002E-2"/>
    <n v="0.4"/>
    <n v="0.6"/>
    <n v="1"/>
    <n v="1"/>
    <n v="0"/>
    <n v="0"/>
    <n v="7200.0000000000009"/>
    <n v="0"/>
    <n v="0"/>
    <n v="27900.000000000004"/>
    <n v="0"/>
    <n v="27900.000000000004"/>
    <n v="16740"/>
    <n v="0"/>
    <n v="0"/>
    <n v="27900.000000000004"/>
    <n v="0"/>
    <n v="27900.000000000004"/>
    <n v="0.4499999999999999"/>
    <n v="0.59999999999999987"/>
    <n v="0.74999999999999978"/>
    <b v="0"/>
    <x v="1"/>
    <n v="0"/>
    <n v="0"/>
    <n v="0"/>
    <b v="0"/>
    <s v="https://www.ecoefficiencygroup.com.au/wp-content/uploads/2017/11/ecomeat_manual.pdf "/>
  </r>
  <r>
    <s v="Improve process technology"/>
    <x v="3"/>
    <s v="yes"/>
    <m/>
    <m/>
    <m/>
    <s v="yes"/>
    <m/>
    <x v="0"/>
    <x v="0"/>
    <x v="0"/>
    <b v="1"/>
    <s v="nil"/>
    <b v="1"/>
    <s v="not applied"/>
    <b v="1"/>
    <m/>
    <m/>
    <m/>
    <n v="3.0000000000000002E-2"/>
    <n v="0.2"/>
    <n v="0.3"/>
    <n v="1"/>
    <n v="1"/>
    <n v="0"/>
    <n v="0"/>
    <n v="18000"/>
    <n v="0"/>
    <n v="0"/>
    <n v="69750"/>
    <n v="0"/>
    <n v="69750"/>
    <n v="20925"/>
    <n v="0"/>
    <n v="0"/>
    <n v="69750"/>
    <n v="0"/>
    <n v="69750"/>
    <n v="0.22499999999999998"/>
    <n v="0.3"/>
    <n v="0.375"/>
    <b v="0"/>
    <x v="1"/>
    <n v="0"/>
    <n v="0"/>
    <n v="0"/>
    <b v="1"/>
    <s v="https://www.ecoefficiencygroup.com.au/wp-content/uploads/2017/11/ecomeat_manual.pdf "/>
  </r>
  <r>
    <s v="Improve process technology"/>
    <x v="4"/>
    <s v="yes"/>
    <m/>
    <m/>
    <m/>
    <s v="yes"/>
    <m/>
    <x v="0"/>
    <x v="0"/>
    <x v="0"/>
    <b v="1"/>
    <s v="nil"/>
    <b v="1"/>
    <s v="not applied"/>
    <b v="1"/>
    <m/>
    <m/>
    <m/>
    <n v="5.0000000000000001E-3"/>
    <n v="0.3"/>
    <n v="0.5"/>
    <n v="1"/>
    <n v="1"/>
    <n v="0"/>
    <n v="0"/>
    <n v="3000"/>
    <n v="0"/>
    <n v="0"/>
    <n v="11625"/>
    <n v="0"/>
    <n v="11625"/>
    <n v="5812.5"/>
    <n v="0"/>
    <n v="0"/>
    <n v="11625"/>
    <n v="0"/>
    <n v="11625"/>
    <n v="0.375"/>
    <n v="0.5"/>
    <n v="0.625"/>
    <b v="0"/>
    <x v="1"/>
    <n v="0"/>
    <n v="0"/>
    <n v="0"/>
    <b v="1"/>
    <s v="https://www.ecoefficiencygroup.com.au/wp-content/uploads/2017/11/ecomeat_manual.pdf "/>
  </r>
  <r>
    <s v="Improve housekeeping"/>
    <x v="5"/>
    <s v="yes"/>
    <m/>
    <m/>
    <m/>
    <s v="yes"/>
    <m/>
    <x v="1"/>
    <x v="0"/>
    <x v="0"/>
    <b v="0"/>
    <s v="nil"/>
    <b v="1"/>
    <s v="not applied"/>
    <b v="1"/>
    <m/>
    <m/>
    <m/>
    <n v="8.0000000000000002E-3"/>
    <n v="1"/>
    <n v="1.5"/>
    <n v="2"/>
    <n v="1"/>
    <n v="0"/>
    <n v="0"/>
    <n v="4800"/>
    <n v="0"/>
    <n v="0"/>
    <n v="18600"/>
    <n v="0"/>
    <n v="18600"/>
    <n v="27900"/>
    <n v="0"/>
    <n v="0"/>
    <n v="18600"/>
    <n v="0"/>
    <n v="18600"/>
    <n v="1.125"/>
    <n v="1.5"/>
    <n v="1.875"/>
    <b v="0"/>
    <x v="1"/>
    <n v="0"/>
    <n v="0"/>
    <n v="0"/>
    <b v="0"/>
    <s v="https://www.ecoefficiencygroup.com.au/wp-content/uploads/2017/11/ecomeat_manual.pdf "/>
  </r>
  <r>
    <s v="Install efficient equipment"/>
    <x v="6"/>
    <s v="yes"/>
    <m/>
    <m/>
    <m/>
    <s v="yes"/>
    <m/>
    <x v="0"/>
    <x v="0"/>
    <x v="0"/>
    <b v="1"/>
    <s v="nil"/>
    <b v="1"/>
    <s v="not applied"/>
    <b v="1"/>
    <m/>
    <m/>
    <m/>
    <n v="2.0000000000000004E-2"/>
    <n v="0.8"/>
    <n v="1"/>
    <n v="1.2"/>
    <n v="1"/>
    <n v="0"/>
    <n v="0"/>
    <n v="12000.000000000002"/>
    <n v="0"/>
    <n v="0"/>
    <n v="46500.000000000007"/>
    <n v="0"/>
    <n v="46500.000000000007"/>
    <n v="46500.000000000007"/>
    <n v="0"/>
    <n v="0"/>
    <n v="46500.000000000007"/>
    <n v="0"/>
    <n v="46500.000000000007"/>
    <n v="0.75"/>
    <n v="1"/>
    <n v="1.25"/>
    <b v="0"/>
    <x v="1"/>
    <n v="0"/>
    <n v="0"/>
    <n v="0"/>
    <b v="1"/>
    <s v="https://www.ecoefficiencygroup.com.au/wp-content/uploads/2017/11/ecomeat_manual.pdf "/>
  </r>
  <r>
    <s v="Install efficient equipment"/>
    <x v="7"/>
    <s v="yes"/>
    <m/>
    <m/>
    <m/>
    <s v="yes"/>
    <m/>
    <x v="0"/>
    <x v="0"/>
    <x v="0"/>
    <b v="1"/>
    <s v="nil"/>
    <b v="1"/>
    <s v="not applied"/>
    <b v="1"/>
    <m/>
    <m/>
    <m/>
    <n v="5.0000000000000001E-4"/>
    <n v="3"/>
    <n v="4"/>
    <n v="5"/>
    <n v="1"/>
    <n v="0"/>
    <n v="0"/>
    <n v="300"/>
    <n v="0"/>
    <n v="0"/>
    <n v="1162.5"/>
    <n v="0"/>
    <n v="1162.5"/>
    <n v="4650"/>
    <n v="0"/>
    <n v="0"/>
    <n v="1162.5"/>
    <n v="0"/>
    <n v="1162.5"/>
    <n v="3"/>
    <n v="4"/>
    <n v="5"/>
    <b v="0"/>
    <x v="0"/>
    <n v="0"/>
    <n v="0"/>
    <n v="0"/>
    <b v="0"/>
    <s v="https://www.ecoefficiencygroup.com.au/wp-content/uploads/2017/11/ecomeat_manual.pdf "/>
  </r>
  <r>
    <s v="Install efficient equipment"/>
    <x v="8"/>
    <s v="yes"/>
    <m/>
    <m/>
    <m/>
    <s v="yes"/>
    <m/>
    <x v="0"/>
    <x v="0"/>
    <x v="0"/>
    <b v="1"/>
    <s v="nil"/>
    <b v="1"/>
    <s v="not applied"/>
    <b v="1"/>
    <m/>
    <m/>
    <m/>
    <n v="1.3000000000000001E-2"/>
    <n v="1"/>
    <n v="1.5"/>
    <n v="2"/>
    <n v="1"/>
    <n v="0"/>
    <n v="0"/>
    <n v="7800.0000000000009"/>
    <n v="0"/>
    <n v="0"/>
    <n v="30225.000000000004"/>
    <n v="0"/>
    <n v="30225.000000000004"/>
    <n v="45337.500000000007"/>
    <n v="0"/>
    <n v="0"/>
    <n v="30225.000000000004"/>
    <n v="0"/>
    <n v="30225.000000000004"/>
    <n v="1.125"/>
    <n v="1.5"/>
    <n v="1.875"/>
    <b v="0"/>
    <x v="1"/>
    <n v="0"/>
    <n v="0"/>
    <n v="0"/>
    <b v="1"/>
    <s v="https://www.ecoefficiencygroup.com.au/wp-content/uploads/2017/11/ecomeat_manual.pdf "/>
  </r>
  <r>
    <s v="Install efficient equipment"/>
    <x v="9"/>
    <s v="yes"/>
    <m/>
    <m/>
    <m/>
    <s v="yes"/>
    <m/>
    <x v="0"/>
    <x v="0"/>
    <x v="0"/>
    <b v="1"/>
    <s v="nil"/>
    <b v="1"/>
    <s v="not applied"/>
    <b v="1"/>
    <m/>
    <m/>
    <m/>
    <n v="2.4000000000000004E-2"/>
    <n v="0.5"/>
    <n v="1"/>
    <n v="1.5"/>
    <n v="1"/>
    <n v="0"/>
    <n v="0"/>
    <n v="14400.000000000002"/>
    <n v="0"/>
    <n v="0"/>
    <n v="55800.000000000007"/>
    <n v="0"/>
    <n v="55800.000000000007"/>
    <n v="55800.000000000007"/>
    <n v="0"/>
    <n v="0"/>
    <n v="55800.000000000007"/>
    <n v="0"/>
    <n v="55800.000000000007"/>
    <n v="0.75"/>
    <n v="1"/>
    <n v="1.25"/>
    <b v="0"/>
    <x v="1"/>
    <n v="0"/>
    <n v="0"/>
    <n v="0"/>
    <b v="1"/>
    <s v="https://www.ecoefficiencygroup.com.au/wp-content/uploads/2017/11/ecomeat_manual.pdf "/>
  </r>
  <r>
    <s v="Install efficient equipment"/>
    <x v="10"/>
    <s v="yes"/>
    <m/>
    <m/>
    <m/>
    <s v="yes"/>
    <m/>
    <x v="0"/>
    <x v="0"/>
    <x v="0"/>
    <b v="1"/>
    <s v="nil"/>
    <b v="1"/>
    <s v="not applied"/>
    <b v="1"/>
    <m/>
    <m/>
    <m/>
    <n v="2.0000000000000004E-2"/>
    <n v="0.25"/>
    <n v="0.5"/>
    <n v="1"/>
    <n v="1"/>
    <n v="0"/>
    <n v="0"/>
    <n v="12000.000000000002"/>
    <n v="0"/>
    <n v="0"/>
    <n v="46500.000000000007"/>
    <n v="0"/>
    <n v="46500.000000000007"/>
    <n v="23250.000000000004"/>
    <n v="0"/>
    <n v="0"/>
    <n v="46500.000000000007"/>
    <n v="0"/>
    <n v="46500.000000000007"/>
    <n v="0.375"/>
    <n v="0.5"/>
    <n v="0.625"/>
    <b v="0"/>
    <x v="1"/>
    <n v="0"/>
    <n v="0"/>
    <n v="0"/>
    <b v="1"/>
    <s v="https://www.ecoefficiencygroup.com.au/wp-content/uploads/2017/11/ecomeat_manual.pdf "/>
  </r>
  <r>
    <s v="Install efficient equipment"/>
    <x v="11"/>
    <s v="yes"/>
    <m/>
    <m/>
    <m/>
    <s v="yes"/>
    <m/>
    <x v="0"/>
    <x v="0"/>
    <x v="0"/>
    <b v="1"/>
    <s v="nil"/>
    <b v="1"/>
    <s v="not applied"/>
    <b v="1"/>
    <m/>
    <m/>
    <m/>
    <n v="5.000000000000001E-3"/>
    <n v="0.25"/>
    <n v="0.5"/>
    <n v="1"/>
    <n v="1"/>
    <n v="0"/>
    <n v="0"/>
    <n v="3000.0000000000005"/>
    <n v="0"/>
    <n v="0"/>
    <n v="11625.000000000002"/>
    <n v="0"/>
    <n v="11625.000000000002"/>
    <n v="5812.5000000000009"/>
    <n v="0"/>
    <n v="0"/>
    <n v="11625.000000000002"/>
    <n v="0"/>
    <n v="11625.000000000002"/>
    <n v="0.375"/>
    <n v="0.5"/>
    <n v="0.625"/>
    <b v="0"/>
    <x v="1"/>
    <n v="0"/>
    <n v="0"/>
    <n v="0"/>
    <b v="1"/>
    <s v="https://www.ecoefficiencygroup.com.au/wp-content/uploads/2017/11/ecomeat_manual.pdf "/>
  </r>
  <r>
    <s v="Install efficient equipment"/>
    <x v="12"/>
    <s v="yes"/>
    <m/>
    <m/>
    <m/>
    <s v="yes"/>
    <m/>
    <x v="0"/>
    <x v="0"/>
    <x v="0"/>
    <b v="1"/>
    <s v="nil"/>
    <b v="1"/>
    <s v="not applied"/>
    <b v="1"/>
    <m/>
    <m/>
    <m/>
    <n v="0.06"/>
    <n v="1"/>
    <n v="1.5"/>
    <n v="2"/>
    <n v="1"/>
    <n v="0"/>
    <n v="0"/>
    <n v="36000"/>
    <n v="0"/>
    <n v="0"/>
    <n v="139500"/>
    <n v="0"/>
    <n v="139500"/>
    <n v="209250"/>
    <n v="0"/>
    <n v="0"/>
    <n v="139500"/>
    <n v="0"/>
    <n v="139500"/>
    <n v="1.125"/>
    <n v="1.5"/>
    <n v="1.875"/>
    <b v="0"/>
    <x v="1"/>
    <n v="0"/>
    <n v="0"/>
    <n v="0"/>
    <b v="1"/>
    <s v="https://www.ecoefficiencygroup.com.au/wp-content/uploads/2017/11/ecomeat_manual.pdf "/>
  </r>
  <r>
    <s v="Install efficient equipment"/>
    <x v="13"/>
    <s v="yes"/>
    <m/>
    <m/>
    <m/>
    <s v="yes"/>
    <m/>
    <x v="0"/>
    <x v="0"/>
    <x v="0"/>
    <b v="1"/>
    <s v="nil"/>
    <b v="1"/>
    <s v="not applied"/>
    <b v="1"/>
    <m/>
    <m/>
    <m/>
    <n v="4.2000000000000003E-2"/>
    <n v="0.5"/>
    <n v="1"/>
    <n v="1.5"/>
    <n v="1"/>
    <n v="0"/>
    <n v="0"/>
    <n v="25200"/>
    <n v="0"/>
    <n v="0"/>
    <n v="97650"/>
    <n v="0"/>
    <n v="97650"/>
    <n v="97650"/>
    <n v="0"/>
    <n v="0"/>
    <n v="97650"/>
    <n v="0"/>
    <n v="97650"/>
    <n v="0.75"/>
    <n v="1"/>
    <n v="1.25"/>
    <b v="0"/>
    <x v="1"/>
    <n v="0"/>
    <n v="0"/>
    <n v="0"/>
    <b v="1"/>
    <s v="https://www.ecoefficiencygroup.com.au/wp-content/uploads/2017/11/ecomeat_manual.pdf "/>
  </r>
  <r>
    <s v="Install efficient equipment"/>
    <x v="14"/>
    <s v="yes"/>
    <m/>
    <m/>
    <m/>
    <s v="yes"/>
    <m/>
    <x v="0"/>
    <x v="0"/>
    <x v="0"/>
    <b v="1"/>
    <s v="nil"/>
    <b v="1"/>
    <s v="not applied"/>
    <b v="1"/>
    <m/>
    <m/>
    <m/>
    <n v="1.5000000000000001E-2"/>
    <n v="5"/>
    <n v="6"/>
    <n v="7"/>
    <n v="1"/>
    <n v="0"/>
    <n v="0"/>
    <n v="9000"/>
    <n v="0"/>
    <n v="0"/>
    <n v="34875"/>
    <n v="0"/>
    <n v="34875"/>
    <n v="209250"/>
    <n v="0"/>
    <n v="0"/>
    <n v="34875"/>
    <n v="0"/>
    <n v="34875"/>
    <n v="4.5"/>
    <n v="6"/>
    <n v="7.5"/>
    <b v="0"/>
    <x v="0"/>
    <n v="0"/>
    <n v="0"/>
    <n v="0"/>
    <b v="0"/>
    <s v="https://www.ecoefficiencygroup.com.au/wp-content/uploads/2017/11/ecomeat_manual.pdf "/>
  </r>
  <r>
    <s v="Install efficient equipment"/>
    <x v="15"/>
    <s v="yes"/>
    <m/>
    <m/>
    <m/>
    <s v="yes"/>
    <m/>
    <x v="0"/>
    <x v="0"/>
    <x v="0"/>
    <b v="1"/>
    <s v="nil"/>
    <b v="1"/>
    <s v="not applied"/>
    <b v="1"/>
    <m/>
    <m/>
    <m/>
    <n v="3.0000000000000002E-2"/>
    <n v="1"/>
    <n v="1.5"/>
    <n v="2"/>
    <n v="1"/>
    <n v="0"/>
    <n v="0"/>
    <n v="18000"/>
    <n v="0"/>
    <n v="0"/>
    <n v="69750"/>
    <n v="0"/>
    <n v="69750"/>
    <n v="104625"/>
    <n v="0"/>
    <n v="0"/>
    <n v="69750"/>
    <n v="0"/>
    <n v="69750"/>
    <n v="1.125"/>
    <n v="1.5"/>
    <n v="1.875"/>
    <b v="0"/>
    <x v="1"/>
    <n v="0"/>
    <n v="0"/>
    <n v="0"/>
    <b v="1"/>
    <s v="https://www.ecoefficiencygroup.com.au/wp-content/uploads/2017/11/ecomeat_manual.pdf "/>
  </r>
  <r>
    <s v="Install efficient equipment"/>
    <x v="16"/>
    <s v="yes"/>
    <m/>
    <m/>
    <m/>
    <s v="yes"/>
    <m/>
    <x v="0"/>
    <x v="0"/>
    <x v="0"/>
    <b v="1"/>
    <s v="nil"/>
    <b v="1"/>
    <s v="not applied"/>
    <b v="1"/>
    <m/>
    <m/>
    <m/>
    <n v="1.0000000000000002E-2"/>
    <n v="2"/>
    <n v="3"/>
    <n v="5"/>
    <n v="1"/>
    <n v="0"/>
    <n v="0"/>
    <n v="6000.0000000000009"/>
    <n v="0"/>
    <n v="0"/>
    <n v="23250.000000000004"/>
    <n v="0"/>
    <n v="23250.000000000004"/>
    <n v="69750.000000000015"/>
    <n v="0"/>
    <n v="0"/>
    <n v="23250.000000000004"/>
    <n v="0"/>
    <n v="23250.000000000004"/>
    <n v="2.25"/>
    <n v="3"/>
    <n v="3.75"/>
    <b v="0"/>
    <x v="1"/>
    <n v="0"/>
    <n v="0"/>
    <n v="0"/>
    <b v="1"/>
    <s v="https://www.ecoefficiencygroup.com.au/wp-content/uploads/2017/11/ecomeat_manual.pdf "/>
  </r>
  <r>
    <s v="Install efficient equipment"/>
    <x v="17"/>
    <s v="yes"/>
    <m/>
    <m/>
    <m/>
    <s v="yes"/>
    <m/>
    <x v="0"/>
    <x v="0"/>
    <x v="0"/>
    <b v="1"/>
    <s v="nil"/>
    <b v="1"/>
    <s v="not applied"/>
    <b v="1"/>
    <m/>
    <m/>
    <m/>
    <n v="3.2876712328767134E-2"/>
    <n v="1"/>
    <n v="2"/>
    <n v="3"/>
    <n v="1"/>
    <n v="0"/>
    <n v="0"/>
    <n v="19726.027397260281"/>
    <n v="0"/>
    <n v="0"/>
    <n v="76438.356164383586"/>
    <n v="0"/>
    <n v="76438.356164383586"/>
    <n v="152876.71232876717"/>
    <n v="0"/>
    <n v="0"/>
    <n v="76438.356164383586"/>
    <n v="0"/>
    <n v="76438.356164383586"/>
    <n v="1.5"/>
    <n v="2"/>
    <n v="2.5"/>
    <b v="0"/>
    <x v="1"/>
    <n v="0"/>
    <n v="0"/>
    <n v="0"/>
    <b v="1"/>
    <s v="https://www.ecoefficiencygroup.com.au/wp-content/uploads/2017/11/ecomeat_manual.pdf "/>
  </r>
  <r>
    <s v="Install efficient equipment"/>
    <x v="18"/>
    <s v="yes"/>
    <m/>
    <m/>
    <m/>
    <s v="yes"/>
    <m/>
    <x v="0"/>
    <x v="0"/>
    <x v="0"/>
    <b v="1"/>
    <s v="nil"/>
    <b v="1"/>
    <s v="not applied"/>
    <b v="1"/>
    <m/>
    <m/>
    <n v="0.01"/>
    <n v="0.05"/>
    <n v="2"/>
    <n v="3"/>
    <n v="4"/>
    <n v="1"/>
    <n v="0"/>
    <n v="140000"/>
    <n v="30000"/>
    <n v="0"/>
    <n v="21500"/>
    <n v="116250"/>
    <n v="0"/>
    <n v="137750"/>
    <n v="413250"/>
    <n v="0"/>
    <n v="21500"/>
    <n v="116250"/>
    <n v="0"/>
    <n v="137750"/>
    <n v="2.25"/>
    <n v="3"/>
    <n v="3.75"/>
    <b v="0"/>
    <x v="1"/>
    <n v="0"/>
    <n v="137.20000000000002"/>
    <n v="137.20000000000002"/>
    <b v="1"/>
    <s v="https://www.ecoefficiencygroup.com.au/wp-content/uploads/2017/11/ecomeat_manual.pdf "/>
  </r>
  <r>
    <s v="Install efficient equipment"/>
    <x v="19"/>
    <m/>
    <s v="yes"/>
    <s v="yes"/>
    <m/>
    <s v="yes"/>
    <m/>
    <x v="2"/>
    <x v="1"/>
    <x v="0"/>
    <b v="1"/>
    <s v="nil"/>
    <b v="1"/>
    <s v="not applied"/>
    <b v="1"/>
    <n v="0.01"/>
    <n v="0.01"/>
    <n v="0"/>
    <m/>
    <n v="2"/>
    <n v="3"/>
    <n v="4"/>
    <n v="1"/>
    <n v="1950"/>
    <n v="0"/>
    <n v="0"/>
    <n v="2480"/>
    <n v="0"/>
    <n v="0"/>
    <n v="0"/>
    <n v="2480"/>
    <n v="7440"/>
    <n v="2480"/>
    <n v="0"/>
    <n v="0"/>
    <n v="0"/>
    <n v="2480"/>
    <n v="2.25"/>
    <n v="3"/>
    <n v="3.75"/>
    <b v="0"/>
    <x v="1"/>
    <n v="100.48350000000001"/>
    <n v="0"/>
    <n v="100.48350000000001"/>
    <b v="1"/>
    <m/>
  </r>
  <r>
    <s v="Install efficient equipment"/>
    <x v="20"/>
    <m/>
    <s v="yes"/>
    <s v="yes"/>
    <m/>
    <s v="yes"/>
    <m/>
    <x v="2"/>
    <x v="1"/>
    <x v="0"/>
    <b v="1"/>
    <s v="nil"/>
    <b v="1"/>
    <s v="not applied"/>
    <b v="1"/>
    <n v="0.05"/>
    <n v="7.0000000000000007E-2"/>
    <n v="0"/>
    <m/>
    <n v="3"/>
    <n v="4"/>
    <n v="5"/>
    <n v="1"/>
    <n v="9750"/>
    <n v="0"/>
    <n v="0"/>
    <n v="12400"/>
    <n v="0"/>
    <n v="0"/>
    <n v="0"/>
    <n v="12400"/>
    <n v="49600"/>
    <n v="12400"/>
    <n v="0"/>
    <n v="0"/>
    <n v="0"/>
    <n v="12400"/>
    <n v="3"/>
    <n v="4"/>
    <n v="5"/>
    <b v="0"/>
    <x v="0"/>
    <n v="502.41750000000002"/>
    <n v="0"/>
    <n v="502.41750000000002"/>
    <b v="0"/>
    <s v="https://www.sustainability.vic.gov.au/-/media/SV/Publications/Business/Efficient-business-operations/Energy-efficiency-for-business/Energy-efficiency-best-practice-guidelines/SRSB-BPG-Heating-Manual-Mar-2015.pdf?la=en "/>
  </r>
  <r>
    <s v="Install efficient equipment"/>
    <x v="21"/>
    <m/>
    <s v="yes"/>
    <s v="yes"/>
    <m/>
    <s v="yes"/>
    <m/>
    <x v="2"/>
    <x v="1"/>
    <x v="0"/>
    <b v="1"/>
    <s v="nil"/>
    <b v="1"/>
    <s v="not applied"/>
    <b v="1"/>
    <n v="0.01"/>
    <n v="1.4999999999999999E-2"/>
    <n v="0"/>
    <m/>
    <n v="2.5"/>
    <n v="4"/>
    <n v="3.5"/>
    <n v="1"/>
    <n v="1950"/>
    <n v="0"/>
    <n v="0"/>
    <n v="2480"/>
    <n v="0"/>
    <n v="0"/>
    <n v="0"/>
    <n v="2480"/>
    <n v="9920"/>
    <n v="2480"/>
    <n v="0"/>
    <n v="0"/>
    <n v="0"/>
    <n v="2480"/>
    <n v="3"/>
    <n v="4"/>
    <n v="5"/>
    <b v="0"/>
    <x v="0"/>
    <n v="100.48350000000001"/>
    <n v="0"/>
    <n v="100.48350000000001"/>
    <b v="0"/>
    <s v="https://www.sustainability.vic.gov.au/-/media/SV/Publications/Business/Efficient-business-operations/Energy-efficiency-for-business/Energy-efficiency-best-practice-guidelines/SRSB-BPG-Heating-Manual-Mar-2015.pdf?la=en "/>
  </r>
  <r>
    <s v="Install efficient equipment"/>
    <x v="22"/>
    <m/>
    <s v="yes"/>
    <s v="yes"/>
    <m/>
    <s v="yes"/>
    <m/>
    <x v="2"/>
    <x v="1"/>
    <x v="0"/>
    <b v="1"/>
    <s v="nil"/>
    <b v="1"/>
    <s v="not applied"/>
    <b v="1"/>
    <n v="5.0000000000000001E-3"/>
    <n v="0.01"/>
    <n v="0"/>
    <m/>
    <n v="2"/>
    <n v="4"/>
    <n v="4"/>
    <n v="1"/>
    <n v="975"/>
    <n v="0"/>
    <n v="0"/>
    <n v="1240"/>
    <n v="0"/>
    <n v="0"/>
    <n v="0"/>
    <n v="1240"/>
    <n v="4960"/>
    <n v="1240"/>
    <n v="0"/>
    <n v="0"/>
    <n v="0"/>
    <n v="1240"/>
    <n v="3"/>
    <n v="4"/>
    <n v="5"/>
    <b v="0"/>
    <x v="0"/>
    <n v="50.241750000000003"/>
    <n v="0"/>
    <n v="50.241750000000003"/>
    <b v="0"/>
    <s v="https://www.sustainability.vic.gov.au/-/media/SV/Publications/Business/Efficient-business-operations/Energy-efficiency-for-business/Energy-efficiency-best-practice-guidelines/SRSB-BPG-Heating-Manual-Mar-2015.pdf?la=en "/>
  </r>
  <r>
    <s v="Install efficient equipment"/>
    <x v="23"/>
    <m/>
    <s v="yes"/>
    <s v="yes"/>
    <m/>
    <s v="yes"/>
    <m/>
    <x v="2"/>
    <x v="1"/>
    <x v="0"/>
    <b v="1"/>
    <s v="Any rendering"/>
    <b v="1"/>
    <s v="not applied"/>
    <b v="1"/>
    <n v="5.0000000000000001E-3"/>
    <n v="5.0000000000000001E-3"/>
    <n v="0"/>
    <m/>
    <n v="1"/>
    <n v="2"/>
    <n v="3"/>
    <n v="1"/>
    <n v="975"/>
    <n v="0"/>
    <n v="0"/>
    <n v="1240"/>
    <n v="0"/>
    <n v="0"/>
    <n v="0"/>
    <n v="1240"/>
    <n v="2480"/>
    <n v="1240"/>
    <n v="0"/>
    <n v="0"/>
    <n v="0"/>
    <n v="1240"/>
    <n v="1.5"/>
    <n v="2"/>
    <n v="2.5"/>
    <b v="0"/>
    <x v="1"/>
    <n v="50.241750000000003"/>
    <n v="0"/>
    <n v="50.241750000000003"/>
    <b v="1"/>
    <m/>
  </r>
  <r>
    <s v="Install efficient equipment"/>
    <x v="24"/>
    <m/>
    <s v="yes"/>
    <s v="yes"/>
    <m/>
    <s v="yes"/>
    <m/>
    <x v="2"/>
    <x v="1"/>
    <x v="0"/>
    <b v="1"/>
    <s v="nil"/>
    <b v="1"/>
    <s v="not applied"/>
    <b v="1"/>
    <n v="1.4999999999999999E-2"/>
    <n v="0.02"/>
    <n v="0"/>
    <m/>
    <n v="0.5"/>
    <n v="1"/>
    <n v="1.5"/>
    <n v="1"/>
    <n v="2925"/>
    <n v="0"/>
    <n v="0"/>
    <n v="3720"/>
    <n v="0"/>
    <n v="0"/>
    <n v="0"/>
    <n v="3720"/>
    <n v="3720"/>
    <n v="3720"/>
    <n v="0"/>
    <n v="0"/>
    <n v="0"/>
    <n v="3720"/>
    <n v="0.75"/>
    <n v="1"/>
    <n v="1.25"/>
    <b v="0"/>
    <x v="1"/>
    <n v="150.72524999999999"/>
    <n v="0"/>
    <n v="150.72524999999999"/>
    <b v="1"/>
    <m/>
  </r>
  <r>
    <s v="Install efficient equipment"/>
    <x v="25"/>
    <m/>
    <m/>
    <m/>
    <s v="yes"/>
    <s v="yes"/>
    <m/>
    <x v="2"/>
    <x v="0"/>
    <x v="1"/>
    <b v="0"/>
    <s v="nil"/>
    <b v="1"/>
    <s v="not applied"/>
    <b v="1"/>
    <n v="0"/>
    <n v="0"/>
    <n v="0.03"/>
    <m/>
    <n v="2"/>
    <n v="3"/>
    <n v="4"/>
    <n v="1"/>
    <n v="0"/>
    <n v="420000"/>
    <n v="0"/>
    <n v="0"/>
    <n v="64500.000000000007"/>
    <n v="0"/>
    <n v="0"/>
    <n v="64500.000000000007"/>
    <n v="193500.00000000003"/>
    <n v="0"/>
    <n v="64500.000000000007"/>
    <n v="0"/>
    <n v="0"/>
    <n v="64500.000000000007"/>
    <n v="2.25"/>
    <n v="3"/>
    <n v="3.75"/>
    <b v="0"/>
    <x v="1"/>
    <n v="0"/>
    <n v="411.59999999999997"/>
    <n v="411.59999999999997"/>
    <b v="0"/>
    <s v="https://www.environment.nsw.gov.au/resources/business/IndustrialRefrigerationTechnologyReport.pdf "/>
  </r>
  <r>
    <s v="Install efficient equipment"/>
    <x v="26"/>
    <m/>
    <m/>
    <m/>
    <s v="yes"/>
    <s v="yes"/>
    <m/>
    <x v="2"/>
    <x v="0"/>
    <x v="1"/>
    <b v="0"/>
    <s v="nil"/>
    <b v="1"/>
    <s v="not applied"/>
    <b v="1"/>
    <n v="0"/>
    <n v="0"/>
    <n v="0.02"/>
    <m/>
    <n v="2"/>
    <n v="3"/>
    <n v="4"/>
    <n v="1"/>
    <n v="0"/>
    <n v="280000"/>
    <n v="0"/>
    <n v="0"/>
    <n v="43000"/>
    <n v="0"/>
    <n v="0"/>
    <n v="43000"/>
    <n v="129000"/>
    <n v="0"/>
    <n v="43000"/>
    <n v="0"/>
    <n v="0"/>
    <n v="43000"/>
    <n v="2.25"/>
    <n v="3"/>
    <n v="3.75"/>
    <b v="0"/>
    <x v="1"/>
    <n v="0"/>
    <n v="274.40000000000003"/>
    <n v="274.40000000000003"/>
    <b v="0"/>
    <s v="https://www.environment.nsw.gov.au/resources/business/IndustrialRefrigerationTechnologyReport.pdf "/>
  </r>
  <r>
    <s v="Install efficient equipment"/>
    <x v="27"/>
    <m/>
    <m/>
    <m/>
    <s v="yes"/>
    <s v="yes"/>
    <m/>
    <x v="2"/>
    <x v="0"/>
    <x v="1"/>
    <b v="0"/>
    <s v="nil"/>
    <b v="1"/>
    <s v="not applied"/>
    <b v="1"/>
    <n v="0"/>
    <n v="0"/>
    <n v="0.02"/>
    <m/>
    <n v="2"/>
    <n v="3"/>
    <n v="4"/>
    <n v="1"/>
    <n v="0"/>
    <n v="280000"/>
    <n v="0"/>
    <n v="0"/>
    <n v="43000"/>
    <n v="0"/>
    <n v="0"/>
    <n v="43000"/>
    <n v="129000"/>
    <n v="0"/>
    <n v="43000"/>
    <n v="0"/>
    <n v="0"/>
    <n v="43000"/>
    <n v="2.25"/>
    <n v="3"/>
    <n v="3.75"/>
    <b v="0"/>
    <x v="1"/>
    <n v="0"/>
    <n v="274.40000000000003"/>
    <n v="274.40000000000003"/>
    <b v="0"/>
    <s v="https://www.environment.nsw.gov.au/resources/business/IndustrialRefrigerationTechnologyReport.pdf "/>
  </r>
  <r>
    <s v="Install efficient equipment"/>
    <x v="28"/>
    <m/>
    <m/>
    <m/>
    <s v="yes"/>
    <s v="yes"/>
    <m/>
    <x v="2"/>
    <x v="0"/>
    <x v="1"/>
    <b v="0"/>
    <s v="nil"/>
    <b v="1"/>
    <s v="not applied"/>
    <b v="1"/>
    <n v="0"/>
    <n v="0"/>
    <n v="5.0000000000000001E-3"/>
    <m/>
    <n v="2"/>
    <n v="3"/>
    <n v="4"/>
    <n v="1"/>
    <n v="0"/>
    <n v="70000"/>
    <n v="0"/>
    <n v="0"/>
    <n v="10750"/>
    <n v="0"/>
    <n v="0"/>
    <n v="10750"/>
    <n v="32250"/>
    <n v="0"/>
    <n v="10750"/>
    <n v="0"/>
    <n v="0"/>
    <n v="10750"/>
    <n v="2.25"/>
    <n v="3"/>
    <n v="3.75"/>
    <b v="0"/>
    <x v="1"/>
    <n v="0"/>
    <n v="68.600000000000009"/>
    <n v="68.600000000000009"/>
    <b v="0"/>
    <s v="https://www.ecoefficiencygroup.com.au/wp-content/uploads/2017/11/ecomeat_manual.pdf "/>
  </r>
  <r>
    <s v="Install efficient equipment"/>
    <x v="29"/>
    <m/>
    <m/>
    <m/>
    <s v="yes"/>
    <s v="yes"/>
    <m/>
    <x v="2"/>
    <x v="0"/>
    <x v="1"/>
    <b v="0"/>
    <s v="nil"/>
    <b v="1"/>
    <s v="not applied"/>
    <b v="1"/>
    <n v="0"/>
    <n v="0"/>
    <n v="5.0000000000000001E-3"/>
    <m/>
    <n v="3"/>
    <n v="4"/>
    <n v="5"/>
    <n v="1"/>
    <n v="0"/>
    <n v="70000"/>
    <n v="0"/>
    <n v="0"/>
    <n v="10750"/>
    <n v="0"/>
    <n v="0"/>
    <n v="10750"/>
    <n v="43000"/>
    <n v="0"/>
    <n v="10750"/>
    <n v="0"/>
    <n v="0"/>
    <n v="10750"/>
    <n v="3"/>
    <n v="4"/>
    <n v="5"/>
    <b v="0"/>
    <x v="0"/>
    <n v="0"/>
    <n v="68.600000000000009"/>
    <n v="68.600000000000009"/>
    <b v="0"/>
    <s v="https://www.environment.nsw.gov.au/resources/business/compressed-air-guide-170257.pdf "/>
  </r>
  <r>
    <s v="Install efficient equipment"/>
    <x v="30"/>
    <m/>
    <m/>
    <m/>
    <s v="yes"/>
    <s v="yes"/>
    <m/>
    <x v="2"/>
    <x v="0"/>
    <x v="1"/>
    <b v="0"/>
    <s v="nil"/>
    <b v="1"/>
    <s v="not applied"/>
    <b v="1"/>
    <n v="4.8433968356474009E-3"/>
    <n v="4.8433968356474009E-3"/>
    <n v="0.02"/>
    <m/>
    <n v="2"/>
    <n v="3"/>
    <n v="4"/>
    <n v="1"/>
    <n v="944.46238295124317"/>
    <n v="280000"/>
    <n v="0"/>
    <n v="1201.1624152405554"/>
    <n v="43000"/>
    <n v="0"/>
    <n v="0"/>
    <n v="44201.162415240557"/>
    <n v="132603.48724572168"/>
    <n v="1201.1624152405554"/>
    <n v="43000"/>
    <n v="0"/>
    <n v="0"/>
    <n v="44201.162415240557"/>
    <n v="2.2500000000000004"/>
    <n v="3.0000000000000004"/>
    <n v="3.7500000000000004"/>
    <b v="0"/>
    <x v="1"/>
    <n v="48.668146593477566"/>
    <n v="274.40000000000003"/>
    <n v="323.06814659347759"/>
    <b v="0"/>
    <s v="http://www.ampc.com.au/2015/07/Efficient-lighting-options-and-review-of-lighting-standards-for-abattoirs"/>
  </r>
  <r>
    <s v="Install efficient equipment"/>
    <x v="31"/>
    <m/>
    <m/>
    <m/>
    <s v="yes"/>
    <s v="yes"/>
    <m/>
    <x v="2"/>
    <x v="0"/>
    <x v="1"/>
    <b v="0"/>
    <s v="nil"/>
    <b v="1"/>
    <s v="not applied"/>
    <b v="1"/>
    <n v="0"/>
    <n v="0"/>
    <n v="0.02"/>
    <m/>
    <n v="3"/>
    <n v="4"/>
    <n v="5"/>
    <n v="1"/>
    <n v="0"/>
    <n v="280000"/>
    <n v="0"/>
    <n v="0"/>
    <n v="43000"/>
    <n v="0"/>
    <n v="0"/>
    <n v="43000"/>
    <n v="172000"/>
    <n v="0"/>
    <n v="43000"/>
    <n v="0"/>
    <n v="0"/>
    <n v="43000"/>
    <n v="3"/>
    <n v="4"/>
    <n v="5"/>
    <b v="0"/>
    <x v="0"/>
    <n v="0"/>
    <n v="274.40000000000003"/>
    <n v="274.40000000000003"/>
    <b v="0"/>
    <s v="https://www.environment.nsw.gov.au/resources/business/IndustrialRefrigerationTechnologyReport.pdf "/>
  </r>
  <r>
    <s v="Install efficient equipment"/>
    <x v="32"/>
    <m/>
    <m/>
    <m/>
    <s v="yes"/>
    <s v="yes"/>
    <m/>
    <x v="2"/>
    <x v="0"/>
    <x v="1"/>
    <b v="0"/>
    <s v="nil"/>
    <b v="1"/>
    <s v="not applied"/>
    <b v="1"/>
    <n v="0"/>
    <n v="0"/>
    <n v="0.04"/>
    <m/>
    <n v="3"/>
    <n v="4"/>
    <n v="5"/>
    <n v="1"/>
    <n v="0"/>
    <n v="560000"/>
    <n v="0"/>
    <n v="0"/>
    <n v="86000"/>
    <n v="0"/>
    <n v="0"/>
    <n v="86000"/>
    <n v="344000"/>
    <n v="0"/>
    <n v="86000"/>
    <n v="0"/>
    <n v="0"/>
    <n v="86000"/>
    <n v="3"/>
    <n v="4"/>
    <n v="5"/>
    <b v="0"/>
    <x v="0"/>
    <n v="0"/>
    <n v="548.80000000000007"/>
    <n v="548.80000000000007"/>
    <b v="0"/>
    <s v="https://www.environment.nsw.gov.au/resources/business/IndustrialRefrigerationTechnologyReport.pdf "/>
  </r>
  <r>
    <s v="Improve process technology"/>
    <x v="33"/>
    <s v="yes"/>
    <m/>
    <m/>
    <m/>
    <s v="yes"/>
    <m/>
    <x v="0"/>
    <x v="0"/>
    <x v="0"/>
    <b v="1"/>
    <s v="nil"/>
    <b v="1"/>
    <s v="not applied"/>
    <b v="1"/>
    <m/>
    <m/>
    <m/>
    <n v="4.4000000000000004E-2"/>
    <n v="0.5"/>
    <n v="0.75"/>
    <n v="1"/>
    <n v="1"/>
    <n v="0"/>
    <n v="0"/>
    <n v="26400.000000000004"/>
    <n v="0"/>
    <n v="0"/>
    <n v="102300.00000000001"/>
    <n v="0"/>
    <n v="102300.00000000001"/>
    <n v="76725.000000000015"/>
    <n v="0"/>
    <n v="0"/>
    <n v="102300.00000000001"/>
    <n v="0"/>
    <n v="102300.00000000001"/>
    <n v="0.5625"/>
    <n v="0.75"/>
    <n v="0.9375"/>
    <b v="0"/>
    <x v="1"/>
    <n v="0"/>
    <n v="0"/>
    <n v="0"/>
    <b v="1"/>
    <s v="https://www.ecoefficiencygroup.com.au/wp-content/uploads/2017/11/ecomeat_manual.pdf "/>
  </r>
  <r>
    <s v="Improve process technology"/>
    <x v="34"/>
    <s v="yes"/>
    <m/>
    <m/>
    <m/>
    <s v="yes"/>
    <m/>
    <x v="0"/>
    <x v="0"/>
    <x v="0"/>
    <b v="1"/>
    <s v="nil"/>
    <b v="1"/>
    <s v="not applied"/>
    <b v="1"/>
    <m/>
    <m/>
    <m/>
    <n v="0.02"/>
    <n v="1"/>
    <n v="2"/>
    <n v="3"/>
    <n v="1"/>
    <n v="0"/>
    <n v="0"/>
    <n v="12000"/>
    <n v="0"/>
    <n v="0"/>
    <n v="46500"/>
    <n v="0"/>
    <n v="46500"/>
    <n v="93000"/>
    <n v="0"/>
    <n v="0"/>
    <n v="46500"/>
    <n v="0"/>
    <n v="46500"/>
    <n v="1.5"/>
    <n v="2"/>
    <n v="2.5"/>
    <b v="0"/>
    <x v="1"/>
    <n v="0"/>
    <n v="0"/>
    <n v="0"/>
    <b v="1"/>
    <s v="https://www.ecoefficiencygroup.com.au/wp-content/uploads/2017/11/ecomeat_manual.pdf "/>
  </r>
  <r>
    <s v="Improve process technology"/>
    <x v="35"/>
    <s v="yes"/>
    <m/>
    <m/>
    <m/>
    <s v="yes"/>
    <m/>
    <x v="0"/>
    <x v="0"/>
    <x v="0"/>
    <b v="1"/>
    <s v="nil"/>
    <b v="1"/>
    <s v="not applied"/>
    <b v="1"/>
    <m/>
    <m/>
    <m/>
    <n v="0.1"/>
    <n v="2"/>
    <n v="3"/>
    <n v="4"/>
    <n v="1"/>
    <n v="0"/>
    <n v="0"/>
    <n v="60000"/>
    <n v="0"/>
    <n v="0"/>
    <n v="232500"/>
    <n v="0"/>
    <n v="232500"/>
    <n v="697500"/>
    <n v="0"/>
    <n v="0"/>
    <n v="232500"/>
    <n v="0"/>
    <n v="232500"/>
    <n v="2.25"/>
    <n v="3"/>
    <n v="3.75"/>
    <b v="0"/>
    <x v="1"/>
    <n v="0"/>
    <n v="0"/>
    <n v="0"/>
    <b v="1"/>
    <s v="https://www.ecoefficiencygroup.com.au/wp-content/uploads/2017/11/ecomeat_manual.pdf "/>
  </r>
  <r>
    <s v="Improve process technology"/>
    <x v="36"/>
    <m/>
    <s v="yes"/>
    <s v="yes"/>
    <m/>
    <s v="yes"/>
    <m/>
    <x v="2"/>
    <x v="1"/>
    <x v="0"/>
    <b v="1"/>
    <s v="nil"/>
    <b v="1"/>
    <s v="not applied"/>
    <b v="1"/>
    <n v="0.03"/>
    <n v="0.05"/>
    <n v="0"/>
    <m/>
    <n v="2"/>
    <n v="3"/>
    <n v="4"/>
    <n v="1"/>
    <n v="5850"/>
    <n v="0"/>
    <n v="0"/>
    <n v="7440"/>
    <n v="0"/>
    <n v="0"/>
    <n v="0"/>
    <n v="7440"/>
    <n v="22320"/>
    <n v="7440"/>
    <n v="0"/>
    <n v="0"/>
    <n v="0"/>
    <n v="7440"/>
    <n v="2.25"/>
    <n v="3"/>
    <n v="3.75"/>
    <b v="0"/>
    <x v="1"/>
    <n v="301.45049999999998"/>
    <n v="0"/>
    <n v="301.45049999999998"/>
    <b v="1"/>
    <s v="https://www.ampc.com.au/2010/07/Heat-Recovery-From-Refrigeration-Plant "/>
  </r>
  <r>
    <s v="Improve process technology"/>
    <x v="37"/>
    <m/>
    <s v="yes"/>
    <s v="yes"/>
    <m/>
    <s v="yes"/>
    <m/>
    <x v="2"/>
    <x v="1"/>
    <x v="0"/>
    <b v="1"/>
    <s v="nil"/>
    <b v="1"/>
    <s v="not applied"/>
    <b v="1"/>
    <n v="6.0000000000000001E-3"/>
    <n v="6.0000000000000001E-3"/>
    <n v="0"/>
    <m/>
    <n v="4"/>
    <n v="5"/>
    <n v="6"/>
    <n v="2"/>
    <n v="1170"/>
    <n v="0"/>
    <n v="0"/>
    <n v="1488"/>
    <n v="0"/>
    <n v="0"/>
    <n v="1488"/>
    <n v="2976"/>
    <n v="14880"/>
    <n v="1488"/>
    <n v="0"/>
    <n v="0"/>
    <n v="1488"/>
    <n v="2976"/>
    <n v="3.75"/>
    <n v="5"/>
    <n v="6.25"/>
    <b v="0"/>
    <x v="0"/>
    <n v="60.290100000000002"/>
    <n v="0"/>
    <n v="60.290100000000002"/>
    <b v="0"/>
    <m/>
  </r>
  <r>
    <s v="Improve process technology"/>
    <x v="38"/>
    <m/>
    <s v="yes"/>
    <s v="yes"/>
    <m/>
    <s v="yes"/>
    <m/>
    <x v="2"/>
    <x v="1"/>
    <x v="0"/>
    <b v="1"/>
    <s v="Any rendering"/>
    <b v="1"/>
    <s v="not applied"/>
    <b v="1"/>
    <n v="0.02"/>
    <n v="0.03"/>
    <n v="0"/>
    <m/>
    <n v="6"/>
    <n v="6"/>
    <n v="10"/>
    <n v="1.5"/>
    <n v="3900"/>
    <n v="0"/>
    <n v="0"/>
    <n v="4960"/>
    <n v="0"/>
    <n v="0"/>
    <n v="2480"/>
    <n v="7440"/>
    <n v="44640"/>
    <n v="4960"/>
    <n v="0"/>
    <n v="0"/>
    <n v="2480"/>
    <n v="7440"/>
    <n v="4.5"/>
    <n v="6"/>
    <n v="7.5"/>
    <b v="0"/>
    <x v="0"/>
    <n v="200.96700000000001"/>
    <n v="0"/>
    <n v="200.96700000000001"/>
    <b v="0"/>
    <m/>
  </r>
  <r>
    <s v="Improve process technology"/>
    <x v="39"/>
    <s v="yes"/>
    <s v="yes"/>
    <s v="yes"/>
    <s v="yes"/>
    <s v="yes"/>
    <m/>
    <x v="0"/>
    <x v="1"/>
    <x v="1"/>
    <b v="1"/>
    <s v="nil"/>
    <b v="1"/>
    <s v="not applied"/>
    <b v="1"/>
    <n v="0.02"/>
    <n v="0.02"/>
    <n v="0.02"/>
    <n v="0.02"/>
    <n v="1"/>
    <n v="2"/>
    <n v="3"/>
    <n v="1"/>
    <n v="3900"/>
    <n v="280000"/>
    <n v="12000"/>
    <n v="4960"/>
    <n v="43000"/>
    <n v="46500"/>
    <n v="0"/>
    <n v="94460"/>
    <n v="188920"/>
    <n v="4960"/>
    <n v="43000"/>
    <n v="46500"/>
    <n v="0"/>
    <n v="94460"/>
    <n v="1.5"/>
    <n v="2"/>
    <n v="2.5"/>
    <b v="0"/>
    <x v="1"/>
    <n v="200.96700000000001"/>
    <n v="274.40000000000003"/>
    <n v="475.36700000000008"/>
    <b v="1"/>
    <m/>
  </r>
  <r>
    <s v="Install efficient equipment"/>
    <x v="40"/>
    <m/>
    <m/>
    <m/>
    <s v="yes"/>
    <s v="yes"/>
    <m/>
    <x v="2"/>
    <x v="0"/>
    <x v="1"/>
    <b v="0"/>
    <s v="nil"/>
    <b v="1"/>
    <s v="not applied"/>
    <b v="1"/>
    <n v="5.0000000000000001E-3"/>
    <n v="8.0000000000000002E-3"/>
    <n v="-2.0000000000000002E-5"/>
    <m/>
    <n v="3"/>
    <n v="4"/>
    <n v="5"/>
    <n v="1"/>
    <n v="975"/>
    <n v="-280"/>
    <n v="0"/>
    <n v="1240"/>
    <n v="-43"/>
    <n v="0"/>
    <n v="0"/>
    <n v="1197"/>
    <n v="4788"/>
    <n v="1240"/>
    <n v="-43"/>
    <n v="0"/>
    <n v="0"/>
    <n v="1197"/>
    <n v="3"/>
    <n v="4"/>
    <n v="5"/>
    <b v="0"/>
    <x v="0"/>
    <n v="50.241750000000003"/>
    <n v="-0.27439999999999998"/>
    <n v="49.967350000000003"/>
    <b v="0"/>
    <s v="https://www.sustainability.vic.gov.au/Business/Energy-efficiency-for-business/Business-energy-efficiency/Energy-efficiency-best-practice-guidelines "/>
  </r>
  <r>
    <s v="Improve process technology"/>
    <x v="41"/>
    <m/>
    <m/>
    <m/>
    <s v="yes"/>
    <s v="yes"/>
    <m/>
    <x v="2"/>
    <x v="0"/>
    <x v="1"/>
    <b v="0"/>
    <s v="nil"/>
    <b v="1"/>
    <s v="not applied"/>
    <b v="1"/>
    <n v="0"/>
    <n v="0"/>
    <n v="5.0000000000000001E-3"/>
    <m/>
    <n v="1"/>
    <n v="2"/>
    <n v="3"/>
    <n v="1"/>
    <n v="0"/>
    <n v="70000"/>
    <n v="0"/>
    <n v="0"/>
    <n v="10750"/>
    <n v="0"/>
    <n v="0"/>
    <n v="10750"/>
    <n v="21500"/>
    <n v="0"/>
    <n v="10750"/>
    <n v="0"/>
    <n v="0"/>
    <n v="10750"/>
    <n v="1.5"/>
    <n v="2"/>
    <n v="2.5"/>
    <b v="0"/>
    <x v="1"/>
    <n v="0"/>
    <n v="68.600000000000009"/>
    <n v="68.600000000000009"/>
    <b v="0"/>
    <m/>
  </r>
  <r>
    <s v="Improve housekeeping"/>
    <x v="42"/>
    <s v="yes"/>
    <m/>
    <m/>
    <m/>
    <s v="yes"/>
    <m/>
    <x v="1"/>
    <x v="0"/>
    <x v="0"/>
    <b v="0"/>
    <s v="nil"/>
    <b v="1"/>
    <s v="not applied"/>
    <b v="1"/>
    <m/>
    <m/>
    <m/>
    <n v="3.0000000000000002E-2"/>
    <n v="0.1"/>
    <n v="0.2"/>
    <n v="0.3"/>
    <n v="1"/>
    <n v="0"/>
    <n v="0"/>
    <n v="18000"/>
    <n v="0"/>
    <n v="0"/>
    <n v="69750"/>
    <n v="0"/>
    <n v="69750"/>
    <n v="13950"/>
    <n v="0"/>
    <n v="0"/>
    <n v="69750"/>
    <n v="0"/>
    <n v="69750"/>
    <n v="0.15000000000000002"/>
    <n v="0.2"/>
    <n v="0.25"/>
    <b v="0"/>
    <x v="1"/>
    <n v="0"/>
    <n v="0"/>
    <n v="0"/>
    <b v="0"/>
    <s v="https://www.ecoefficiencygroup.com.au/wp-content/uploads/2017/11/ecomeat_manual.pdf "/>
  </r>
  <r>
    <s v="Improve housekeeping"/>
    <x v="43"/>
    <s v="yes"/>
    <m/>
    <m/>
    <m/>
    <s v="yes"/>
    <m/>
    <x v="1"/>
    <x v="0"/>
    <x v="0"/>
    <b v="0"/>
    <s v="nil"/>
    <b v="1"/>
    <s v="not applied"/>
    <b v="1"/>
    <m/>
    <m/>
    <m/>
    <n v="0.01"/>
    <n v="0.1"/>
    <n v="0.2"/>
    <n v="0.3"/>
    <n v="1"/>
    <n v="0"/>
    <n v="0"/>
    <n v="6000"/>
    <n v="0"/>
    <n v="0"/>
    <n v="23250"/>
    <n v="0"/>
    <n v="23250"/>
    <n v="4650"/>
    <n v="0"/>
    <n v="0"/>
    <n v="23250"/>
    <n v="0"/>
    <n v="23250"/>
    <n v="0.15000000000000002"/>
    <n v="0.2"/>
    <n v="0.25"/>
    <b v="0"/>
    <x v="1"/>
    <n v="0"/>
    <n v="0"/>
    <n v="0"/>
    <b v="0"/>
    <s v="https://www.ecoefficiencygroup.com.au/wp-content/uploads/2017/11/ecomeat_manual.pdf "/>
  </r>
  <r>
    <s v="Improve housekeeping"/>
    <x v="44"/>
    <s v="yes"/>
    <m/>
    <m/>
    <m/>
    <s v="yes"/>
    <m/>
    <x v="1"/>
    <x v="0"/>
    <x v="0"/>
    <b v="0"/>
    <s v="nil"/>
    <b v="1"/>
    <s v="not applied"/>
    <b v="1"/>
    <m/>
    <m/>
    <m/>
    <n v="1.0000000000000002E-2"/>
    <n v="0.1"/>
    <n v="0.2"/>
    <n v="0.3"/>
    <n v="1"/>
    <n v="0"/>
    <n v="0"/>
    <n v="6000.0000000000009"/>
    <n v="0"/>
    <n v="0"/>
    <n v="23250.000000000004"/>
    <n v="0"/>
    <n v="23250.000000000004"/>
    <n v="4650.0000000000009"/>
    <n v="0"/>
    <n v="0"/>
    <n v="23250.000000000004"/>
    <n v="0"/>
    <n v="23250.000000000004"/>
    <n v="0.15000000000000002"/>
    <n v="0.2"/>
    <n v="0.25"/>
    <b v="0"/>
    <x v="1"/>
    <n v="0"/>
    <n v="0"/>
    <n v="0"/>
    <b v="0"/>
    <s v="https://www.ecoefficiencygroup.com.au/wp-content/uploads/2017/11/ecomeat_manual.pdf "/>
  </r>
  <r>
    <s v="Improve housekeeping"/>
    <x v="45"/>
    <s v="yes"/>
    <m/>
    <m/>
    <m/>
    <s v="yes"/>
    <m/>
    <x v="1"/>
    <x v="0"/>
    <x v="0"/>
    <b v="0"/>
    <s v="nil"/>
    <b v="1"/>
    <s v="not applied"/>
    <b v="1"/>
    <m/>
    <m/>
    <m/>
    <n v="2.5000000000000001E-2"/>
    <n v="0.1"/>
    <n v="0.2"/>
    <n v="0.3"/>
    <n v="1"/>
    <n v="0"/>
    <n v="0"/>
    <n v="15000"/>
    <n v="0"/>
    <n v="0"/>
    <n v="58125"/>
    <n v="0"/>
    <n v="58125"/>
    <n v="11625"/>
    <n v="0"/>
    <n v="0"/>
    <n v="58125"/>
    <n v="0"/>
    <n v="58125"/>
    <n v="0.15000000000000002"/>
    <n v="0.2"/>
    <n v="0.25"/>
    <b v="0"/>
    <x v="1"/>
    <n v="0"/>
    <n v="0"/>
    <n v="0"/>
    <b v="0"/>
    <s v="https://www.ecoefficiencygroup.com.au/wp-content/uploads/2017/11/ecomeat_manual.pdf "/>
  </r>
  <r>
    <s v="Improve housekeeping"/>
    <x v="46"/>
    <s v="yes"/>
    <m/>
    <m/>
    <m/>
    <s v="yes"/>
    <m/>
    <x v="1"/>
    <x v="0"/>
    <x v="0"/>
    <b v="0"/>
    <s v="nil"/>
    <b v="1"/>
    <s v="not applied"/>
    <b v="1"/>
    <m/>
    <m/>
    <m/>
    <n v="3.5000000000000003E-2"/>
    <n v="0.5"/>
    <n v="1"/>
    <n v="1.5"/>
    <n v="1"/>
    <n v="0"/>
    <n v="0"/>
    <n v="21000.000000000004"/>
    <n v="0"/>
    <n v="0"/>
    <n v="81375.000000000015"/>
    <n v="0"/>
    <n v="81375.000000000015"/>
    <n v="81375.000000000015"/>
    <n v="0"/>
    <n v="0"/>
    <n v="81375.000000000015"/>
    <n v="0"/>
    <n v="81375.000000000015"/>
    <n v="0.75"/>
    <n v="1"/>
    <n v="1.25"/>
    <b v="0"/>
    <x v="1"/>
    <n v="0"/>
    <n v="0"/>
    <n v="0"/>
    <b v="0"/>
    <s v="https://www.ecoefficiencygroup.com.au/wp-content/uploads/2017/11/ecomeat_manual.pdf "/>
  </r>
  <r>
    <s v="Improve housekeeping"/>
    <x v="47"/>
    <s v="yes"/>
    <m/>
    <m/>
    <m/>
    <s v="yes"/>
    <m/>
    <x v="1"/>
    <x v="0"/>
    <x v="0"/>
    <b v="0"/>
    <s v="nil"/>
    <b v="1"/>
    <s v="not applied"/>
    <b v="1"/>
    <m/>
    <m/>
    <m/>
    <n v="1.2000000000000002E-2"/>
    <n v="0"/>
    <n v="0.25"/>
    <n v="0.5"/>
    <n v="1"/>
    <n v="0"/>
    <n v="0"/>
    <n v="7200.0000000000009"/>
    <n v="0"/>
    <n v="0"/>
    <n v="27900.000000000004"/>
    <n v="0"/>
    <n v="27900.000000000004"/>
    <n v="6975.0000000000009"/>
    <n v="0"/>
    <n v="0"/>
    <n v="27900.000000000004"/>
    <n v="0"/>
    <n v="27900.000000000004"/>
    <n v="0.1875"/>
    <n v="0.25"/>
    <n v="0.3125"/>
    <b v="0"/>
    <x v="1"/>
    <n v="0"/>
    <n v="0"/>
    <n v="0"/>
    <b v="0"/>
    <s v="https://www.ecoefficiencygroup.com.au/wp-content/uploads/2017/11/ecomeat_manual.pdf "/>
  </r>
  <r>
    <s v="Improve housekeeping"/>
    <x v="48"/>
    <s v="yes"/>
    <m/>
    <m/>
    <m/>
    <s v="yes"/>
    <m/>
    <x v="1"/>
    <x v="0"/>
    <x v="0"/>
    <b v="0"/>
    <s v="nil"/>
    <b v="1"/>
    <s v="not applied"/>
    <b v="1"/>
    <m/>
    <m/>
    <m/>
    <n v="5.0000000000000001E-3"/>
    <n v="0.25"/>
    <n v="0.5"/>
    <n v="1"/>
    <n v="1"/>
    <n v="0"/>
    <n v="0"/>
    <n v="3000"/>
    <n v="0"/>
    <n v="0"/>
    <n v="11625"/>
    <n v="0"/>
    <n v="11625"/>
    <n v="5812.5"/>
    <n v="0"/>
    <n v="0"/>
    <n v="11625"/>
    <n v="0"/>
    <n v="11625"/>
    <n v="0.375"/>
    <n v="0.5"/>
    <n v="0.625"/>
    <b v="0"/>
    <x v="1"/>
    <n v="0"/>
    <n v="0"/>
    <n v="0"/>
    <b v="0"/>
    <s v="https://www.ecoefficiencygroup.com.au/wp-content/uploads/2017/11/ecomeat_manual.pdf "/>
  </r>
  <r>
    <s v="Improve housekeeping"/>
    <x v="49"/>
    <s v="yes"/>
    <m/>
    <m/>
    <m/>
    <s v="yes"/>
    <m/>
    <x v="1"/>
    <x v="0"/>
    <x v="0"/>
    <b v="0"/>
    <s v="nil"/>
    <b v="1"/>
    <s v="not applied"/>
    <b v="1"/>
    <m/>
    <m/>
    <m/>
    <n v="6.000000000000001E-3"/>
    <n v="0.5"/>
    <n v="1"/>
    <n v="1.5"/>
    <n v="1"/>
    <n v="0"/>
    <n v="0"/>
    <n v="3600.0000000000005"/>
    <n v="0"/>
    <n v="0"/>
    <n v="13950.000000000002"/>
    <n v="0"/>
    <n v="13950.000000000002"/>
    <n v="13950.000000000002"/>
    <n v="0"/>
    <n v="0"/>
    <n v="13950.000000000002"/>
    <n v="0"/>
    <n v="13950.000000000002"/>
    <n v="0.75"/>
    <n v="1"/>
    <n v="1.25"/>
    <b v="0"/>
    <x v="1"/>
    <n v="0"/>
    <n v="0"/>
    <n v="0"/>
    <b v="0"/>
    <s v="https://www.ecoefficiencygroup.com.au/wp-content/uploads/2017/11/ecomeat_manual.pdf "/>
  </r>
  <r>
    <s v="Improve housekeeping"/>
    <x v="50"/>
    <m/>
    <s v="yes"/>
    <s v="yes"/>
    <m/>
    <s v="yes"/>
    <m/>
    <x v="2"/>
    <x v="2"/>
    <x v="0"/>
    <b v="0"/>
    <s v="nil"/>
    <b v="1"/>
    <s v="not applied"/>
    <b v="1"/>
    <n v="5.0000000000000001E-3"/>
    <n v="0.01"/>
    <n v="0"/>
    <n v="0.02"/>
    <n v="0.5"/>
    <n v="1.25"/>
    <n v="2"/>
    <n v="1"/>
    <n v="975"/>
    <n v="0"/>
    <n v="12000"/>
    <n v="1240"/>
    <n v="0"/>
    <n v="46500"/>
    <n v="0"/>
    <n v="47740"/>
    <n v="59675"/>
    <n v="1240"/>
    <n v="0"/>
    <n v="46500"/>
    <n v="0"/>
    <n v="47740"/>
    <n v="0.9375"/>
    <n v="1.25"/>
    <n v="1.5625"/>
    <b v="0"/>
    <x v="1"/>
    <n v="50.241750000000003"/>
    <n v="0"/>
    <n v="50.241750000000003"/>
    <b v="0"/>
    <m/>
  </r>
  <r>
    <s v="Improve housekeeping"/>
    <x v="51"/>
    <m/>
    <s v="yes"/>
    <s v="yes"/>
    <m/>
    <s v="yes"/>
    <m/>
    <x v="2"/>
    <x v="2"/>
    <x v="0"/>
    <b v="0"/>
    <s v="nil"/>
    <b v="1"/>
    <s v="not applied"/>
    <b v="1"/>
    <n v="5.0000000000000001E-3"/>
    <n v="0.01"/>
    <n v="0"/>
    <m/>
    <n v="0.5"/>
    <n v="1"/>
    <n v="1.5"/>
    <n v="1"/>
    <n v="975"/>
    <n v="0"/>
    <n v="0"/>
    <n v="1240"/>
    <n v="0"/>
    <n v="0"/>
    <n v="0"/>
    <n v="1240"/>
    <n v="1240"/>
    <n v="1240"/>
    <n v="0"/>
    <n v="0"/>
    <n v="0"/>
    <n v="1240"/>
    <n v="0.75"/>
    <n v="1"/>
    <n v="1.25"/>
    <b v="0"/>
    <x v="1"/>
    <n v="50.241750000000003"/>
    <n v="0"/>
    <n v="50.241750000000003"/>
    <b v="0"/>
    <s v="https://www.ecoefficiencygroup.com.au/wp-content/uploads/2017/11/ecomeat_manual.pdf "/>
  </r>
  <r>
    <s v="Improve housekeeping"/>
    <x v="52"/>
    <m/>
    <s v="yes"/>
    <s v="yes"/>
    <m/>
    <s v="yes"/>
    <m/>
    <x v="2"/>
    <x v="2"/>
    <x v="0"/>
    <b v="0"/>
    <s v="nil"/>
    <b v="1"/>
    <s v="not applied"/>
    <b v="1"/>
    <n v="5.0000000000000001E-3"/>
    <n v="0.01"/>
    <n v="0"/>
    <m/>
    <n v="0"/>
    <n v="0.1"/>
    <n v="0.2"/>
    <n v="1"/>
    <n v="975"/>
    <n v="0"/>
    <n v="0"/>
    <n v="1240"/>
    <n v="0"/>
    <n v="0"/>
    <n v="0"/>
    <n v="1240"/>
    <n v="124"/>
    <n v="1240"/>
    <n v="0"/>
    <n v="0"/>
    <n v="0"/>
    <n v="1240"/>
    <n v="7.5000000000000011E-2"/>
    <n v="0.1"/>
    <n v="0.125"/>
    <b v="0"/>
    <x v="1"/>
    <n v="50.241750000000003"/>
    <n v="0"/>
    <n v="50.241750000000003"/>
    <b v="0"/>
    <s v="https://www.ecoefficiencygroup.com.au/wp-content/uploads/2017/11/ecomeat_manual.pdf "/>
  </r>
  <r>
    <s v="Improve housekeeping"/>
    <x v="53"/>
    <s v="yes"/>
    <s v="yes"/>
    <s v="yes"/>
    <s v="yes"/>
    <s v="yes"/>
    <m/>
    <x v="1"/>
    <x v="2"/>
    <x v="1"/>
    <b v="0"/>
    <s v="nil"/>
    <b v="1"/>
    <s v="not applied"/>
    <b v="1"/>
    <n v="0.02"/>
    <n v="0.02"/>
    <n v="0.01"/>
    <m/>
    <n v="0.25"/>
    <n v="0.5"/>
    <n v="0.75"/>
    <n v="1"/>
    <n v="3900"/>
    <n v="140000"/>
    <n v="0"/>
    <n v="4960"/>
    <n v="21500"/>
    <n v="0"/>
    <n v="0"/>
    <n v="26460"/>
    <n v="13230"/>
    <n v="4960"/>
    <n v="21500"/>
    <n v="0"/>
    <n v="0"/>
    <n v="26460"/>
    <n v="0.375"/>
    <n v="0.5"/>
    <n v="0.625"/>
    <b v="0"/>
    <x v="1"/>
    <n v="200.96700000000001"/>
    <n v="137.20000000000002"/>
    <n v="338.16700000000003"/>
    <b v="0"/>
    <s v="https://www.ecoefficiencygroup.com.au/wp-content/uploads/2017/11/ecomeat_manual.pdf "/>
  </r>
  <r>
    <s v="Improve housekeeping"/>
    <x v="54"/>
    <m/>
    <m/>
    <m/>
    <s v="yes"/>
    <s v="yes"/>
    <m/>
    <x v="2"/>
    <x v="0"/>
    <x v="1"/>
    <b v="0"/>
    <s v="nil"/>
    <b v="1"/>
    <s v="not applied"/>
    <b v="1"/>
    <n v="0"/>
    <n v="0"/>
    <n v="5.0000000000000001E-3"/>
    <m/>
    <n v="1"/>
    <n v="2"/>
    <n v="3"/>
    <n v="1"/>
    <n v="0"/>
    <n v="70000"/>
    <n v="0"/>
    <n v="0"/>
    <n v="10750"/>
    <n v="0"/>
    <n v="0"/>
    <n v="10750"/>
    <n v="21500"/>
    <n v="0"/>
    <n v="10750"/>
    <n v="0"/>
    <n v="0"/>
    <n v="10750"/>
    <n v="1.5"/>
    <n v="2"/>
    <n v="2.5"/>
    <b v="0"/>
    <x v="1"/>
    <n v="0"/>
    <n v="68.600000000000009"/>
    <n v="68.600000000000009"/>
    <b v="0"/>
    <m/>
  </r>
  <r>
    <s v="Improve housekeeping"/>
    <x v="55"/>
    <m/>
    <m/>
    <m/>
    <s v="yes"/>
    <s v="yes"/>
    <m/>
    <x v="2"/>
    <x v="0"/>
    <x v="1"/>
    <b v="0"/>
    <s v="nil"/>
    <b v="1"/>
    <s v="not applied"/>
    <b v="1"/>
    <n v="2.9060381013884403E-3"/>
    <n v="2.9060381013884403E-3"/>
    <n v="5.0000000000000001E-3"/>
    <m/>
    <n v="0.5"/>
    <n v="1"/>
    <n v="1.5"/>
    <n v="1"/>
    <n v="566.67742977074579"/>
    <n v="70000"/>
    <n v="0"/>
    <n v="720.69744914433306"/>
    <n v="10750"/>
    <n v="0"/>
    <n v="0"/>
    <n v="11470.697449144332"/>
    <n v="11470.697449144332"/>
    <n v="720.69744914433306"/>
    <n v="10750"/>
    <n v="0"/>
    <n v="0"/>
    <n v="11470.697449144332"/>
    <n v="0.75"/>
    <n v="1"/>
    <n v="1.25"/>
    <b v="0"/>
    <x v="1"/>
    <n v="29.200887956086532"/>
    <n v="68.600000000000009"/>
    <n v="97.800887956086541"/>
    <b v="0"/>
    <s v="https://www.ecoefficiencygroup.com.au/wp-content/uploads/2017/11/ecomeat_manual.pdf "/>
  </r>
  <r>
    <s v="Improve housekeeping"/>
    <x v="56"/>
    <m/>
    <m/>
    <m/>
    <s v="yes"/>
    <s v="yes"/>
    <m/>
    <x v="2"/>
    <x v="0"/>
    <x v="1"/>
    <b v="0"/>
    <s v="nil"/>
    <b v="1"/>
    <s v="not applied"/>
    <b v="1"/>
    <n v="0"/>
    <n v="0"/>
    <n v="5.0000000000000001E-3"/>
    <m/>
    <n v="0"/>
    <n v="0.1"/>
    <n v="0.2"/>
    <n v="1"/>
    <n v="0"/>
    <n v="70000"/>
    <n v="0"/>
    <n v="0"/>
    <n v="10750"/>
    <n v="0"/>
    <n v="0"/>
    <n v="10750"/>
    <n v="1075"/>
    <n v="0"/>
    <n v="10750"/>
    <n v="0"/>
    <n v="0"/>
    <n v="10750"/>
    <n v="7.5000000000000011E-2"/>
    <n v="0.1"/>
    <n v="0.125"/>
    <b v="0"/>
    <x v="1"/>
    <n v="0"/>
    <n v="68.600000000000009"/>
    <n v="68.600000000000009"/>
    <b v="0"/>
    <m/>
  </r>
  <r>
    <s v="Improve housekeeping"/>
    <x v="57"/>
    <s v="yes"/>
    <m/>
    <m/>
    <m/>
    <s v="yes"/>
    <m/>
    <x v="1"/>
    <x v="0"/>
    <x v="0"/>
    <b v="0"/>
    <s v="nil"/>
    <b v="1"/>
    <s v="not applied"/>
    <b v="1"/>
    <m/>
    <m/>
    <m/>
    <n v="1.2000000000000002E-2"/>
    <n v="0.5"/>
    <n v="1"/>
    <n v="1.5"/>
    <n v="1"/>
    <n v="0"/>
    <n v="0"/>
    <n v="7200.0000000000009"/>
    <n v="0"/>
    <n v="0"/>
    <n v="27900.000000000004"/>
    <n v="0"/>
    <n v="27900.000000000004"/>
    <n v="27900.000000000004"/>
    <n v="0"/>
    <n v="0"/>
    <n v="27900.000000000004"/>
    <n v="0"/>
    <n v="27900.000000000004"/>
    <n v="0.75"/>
    <n v="1"/>
    <n v="1.25"/>
    <b v="0"/>
    <x v="1"/>
    <n v="0"/>
    <n v="0"/>
    <n v="0"/>
    <b v="0"/>
    <s v="https://www.ecoefficiencygroup.com.au/wp-content/uploads/2017/11/ecomeat_manual.pdf "/>
  </r>
  <r>
    <s v="Assess renewables"/>
    <x v="58"/>
    <s v="yes"/>
    <s v="yes"/>
    <s v="yes"/>
    <m/>
    <s v="yes"/>
    <m/>
    <x v="1"/>
    <x v="2"/>
    <x v="0"/>
    <b v="0"/>
    <s v="nil"/>
    <b v="1"/>
    <s v="not applied"/>
    <b v="1"/>
    <n v="0.15"/>
    <n v="0.1"/>
    <n v="0"/>
    <m/>
    <n v="3.75"/>
    <n v="5"/>
    <n v="6.25"/>
    <n v="1"/>
    <n v="29250"/>
    <n v="0"/>
    <n v="0"/>
    <n v="37200"/>
    <n v="0"/>
    <n v="0"/>
    <n v="0"/>
    <n v="37200"/>
    <n v="186000"/>
    <n v="37200"/>
    <n v="0"/>
    <n v="0"/>
    <n v="0"/>
    <n v="37200"/>
    <n v="3.75"/>
    <n v="5"/>
    <n v="6.25"/>
    <b v="0"/>
    <x v="0"/>
    <n v="1507.2525000000001"/>
    <n v="0"/>
    <n v="1507.2525000000001"/>
    <b v="0"/>
    <s v="https://www.ampc.com.au/2011/09/Using-Covered-Anaerobic-Ponds-to-Treat-Abattoir-Wastewater-Reduce-Greenhouse-Gases-and-Generate-Bio-Energy "/>
  </r>
  <r>
    <s v="Assess renewables"/>
    <x v="59"/>
    <m/>
    <s v="yes"/>
    <s v="yes"/>
    <m/>
    <s v="yes"/>
    <m/>
    <x v="2"/>
    <x v="2"/>
    <x v="0"/>
    <b v="0"/>
    <s v="nil"/>
    <b v="1"/>
    <s v="not applied"/>
    <b v="1"/>
    <n v="1"/>
    <n v="1"/>
    <n v="0"/>
    <m/>
    <n v="3"/>
    <n v="5"/>
    <n v="7"/>
    <n v="1"/>
    <n v="195000"/>
    <n v="0"/>
    <n v="0"/>
    <n v="247999.99999999997"/>
    <n v="0"/>
    <n v="0"/>
    <n v="0"/>
    <n v="247999.99999999997"/>
    <n v="1239999.9999999998"/>
    <n v="247999.99999999997"/>
    <n v="0"/>
    <n v="0"/>
    <n v="0"/>
    <n v="247999.99999999997"/>
    <n v="3.75"/>
    <n v="5"/>
    <n v="6.25"/>
    <b v="0"/>
    <x v="0"/>
    <n v="10048.35"/>
    <n v="0"/>
    <n v="10048.35"/>
    <b v="0"/>
    <s v="https://www.ampc.com.au/2010/08/Use-of-Paunch-Waste-as-a-Boiler-Fuel "/>
  </r>
  <r>
    <s v="Assess renewables"/>
    <x v="60"/>
    <m/>
    <s v="yes"/>
    <s v="yes"/>
    <s v="yes"/>
    <s v="yes"/>
    <m/>
    <x v="2"/>
    <x v="2"/>
    <x v="2"/>
    <b v="1"/>
    <s v="nil"/>
    <b v="1"/>
    <s v="not applied"/>
    <b v="1"/>
    <n v="0.3"/>
    <n v="0.5"/>
    <n v="1"/>
    <m/>
    <n v="4"/>
    <n v="5"/>
    <n v="6"/>
    <n v="1"/>
    <n v="58500"/>
    <n v="14000000"/>
    <n v="0"/>
    <n v="74400"/>
    <n v="2150000"/>
    <n v="0"/>
    <n v="0"/>
    <n v="2224400"/>
    <n v="11122000"/>
    <n v="74400"/>
    <n v="2150000"/>
    <n v="0"/>
    <n v="0"/>
    <n v="2224400"/>
    <n v="3.75"/>
    <n v="5"/>
    <n v="6.25"/>
    <b v="0"/>
    <x v="0"/>
    <n v="3014.5050000000001"/>
    <n v="13720"/>
    <n v="16734.505000000001"/>
    <b v="0"/>
    <s v="https://www.ampc.com.au/uploads/cgblog/id151/ENV_2010_Economic_&amp;_technical_potential_ENV.0102-final-report1.pdf "/>
  </r>
  <r>
    <s v="Assess renewables"/>
    <x v="61"/>
    <m/>
    <m/>
    <m/>
    <s v="yes"/>
    <s v="yes"/>
    <m/>
    <x v="2"/>
    <x v="0"/>
    <x v="2"/>
    <b v="1"/>
    <s v="nil"/>
    <b v="1"/>
    <s v="not applied"/>
    <b v="1"/>
    <n v="0"/>
    <n v="0"/>
    <n v="0.05"/>
    <m/>
    <n v="3"/>
    <n v="4"/>
    <n v="6"/>
    <n v="1"/>
    <n v="0"/>
    <n v="700000"/>
    <n v="0"/>
    <n v="0"/>
    <n v="107500"/>
    <n v="0"/>
    <n v="0"/>
    <n v="107500"/>
    <n v="430000"/>
    <n v="0"/>
    <n v="107500"/>
    <n v="0"/>
    <n v="0"/>
    <n v="107500"/>
    <n v="3"/>
    <n v="4"/>
    <n v="5"/>
    <b v="0"/>
    <x v="0"/>
    <n v="0"/>
    <n v="686"/>
    <n v="686"/>
    <b v="0"/>
    <s v="https://rohanhamden.com.au/assets/1613-Floating-Solar-brochure-WEB.pdf "/>
  </r>
  <r>
    <s v="Assess renewables"/>
    <x v="62"/>
    <m/>
    <m/>
    <m/>
    <s v="yes"/>
    <s v="yes"/>
    <m/>
    <x v="2"/>
    <x v="0"/>
    <x v="2"/>
    <b v="1"/>
    <s v="nil"/>
    <b v="1"/>
    <s v="not applied"/>
    <b v="1"/>
    <n v="0"/>
    <n v="0"/>
    <n v="0.2"/>
    <m/>
    <n v="3"/>
    <n v="4"/>
    <n v="5"/>
    <n v="1"/>
    <n v="0"/>
    <n v="2800000"/>
    <n v="0"/>
    <n v="0"/>
    <n v="430000"/>
    <n v="0"/>
    <n v="0"/>
    <n v="430000"/>
    <n v="1720000"/>
    <n v="0"/>
    <n v="430000"/>
    <n v="0"/>
    <n v="0"/>
    <n v="430000"/>
    <n v="3"/>
    <n v="4"/>
    <n v="5"/>
    <b v="0"/>
    <x v="0"/>
    <n v="0"/>
    <n v="2744"/>
    <n v="2744"/>
    <b v="0"/>
    <s v="https://www.ampc.com.au/2014/03/Extension-guide-Renewable-Energy-and-Energy-Storage-Technologies-Applicable-to-Red-Meat-Processing-Manufacturing-businesses "/>
  </r>
  <r>
    <s v="Assess renewables"/>
    <x v="63"/>
    <m/>
    <m/>
    <m/>
    <s v="yes"/>
    <s v="yes"/>
    <m/>
    <x v="2"/>
    <x v="0"/>
    <x v="2"/>
    <b v="1"/>
    <s v="nil"/>
    <b v="1"/>
    <s v="not applied"/>
    <b v="1"/>
    <n v="0"/>
    <n v="0"/>
    <n v="0.3"/>
    <m/>
    <n v="4"/>
    <n v="5"/>
    <n v="6"/>
    <n v="1"/>
    <n v="0"/>
    <n v="4200000"/>
    <n v="0"/>
    <n v="0"/>
    <n v="645000"/>
    <n v="0"/>
    <n v="0"/>
    <n v="645000"/>
    <n v="3225000"/>
    <n v="0"/>
    <n v="645000"/>
    <n v="0"/>
    <n v="0"/>
    <n v="645000"/>
    <n v="3.75"/>
    <n v="5"/>
    <n v="6.25"/>
    <b v="0"/>
    <x v="0"/>
    <n v="0"/>
    <n v="4116"/>
    <n v="4116"/>
    <b v="0"/>
    <s v="https://www.ampc.com.au/2014/03/Extension-guide-Renewable-Energy-and-Energy-Storage-Technologies-Applicable-to-Red-Meat-Processing-Manufacturing-businesses "/>
  </r>
  <r>
    <s v="Assess cogeneration"/>
    <x v="64"/>
    <m/>
    <s v="yes"/>
    <s v="yes"/>
    <s v="yes"/>
    <s v="yes"/>
    <m/>
    <x v="2"/>
    <x v="2"/>
    <x v="2"/>
    <b v="1"/>
    <s v="nil"/>
    <b v="1"/>
    <s v="not applied"/>
    <b v="1"/>
    <n v="-0.5"/>
    <n v="-0.3"/>
    <n v="0.75"/>
    <m/>
    <n v="4"/>
    <n v="6"/>
    <n v="8"/>
    <n v="1"/>
    <n v="-97500"/>
    <n v="10500000"/>
    <n v="0"/>
    <n v="-123999.99999999999"/>
    <n v="1612500"/>
    <n v="0"/>
    <n v="0"/>
    <n v="1488500"/>
    <n v="8931000"/>
    <n v="-123999.99999999999"/>
    <n v="1612500"/>
    <n v="0"/>
    <n v="0"/>
    <n v="1488500"/>
    <n v="4.5"/>
    <n v="6"/>
    <n v="7.5"/>
    <b v="0"/>
    <x v="0"/>
    <n v="-5024.1750000000002"/>
    <n v="10290"/>
    <n v="5265.8249999999998"/>
    <b v="0"/>
    <s v="https://www.ampc.com.au/uploads/pdf/Environment-Sustainability/2016-1002-Final-Report-Investigation-Into-Modular-Micro-Turbine-Cogenerators.pdf "/>
  </r>
  <r>
    <s v="Assess renewables"/>
    <x v="65"/>
    <m/>
    <m/>
    <s v="yes"/>
    <m/>
    <s v="yes"/>
    <m/>
    <x v="2"/>
    <x v="2"/>
    <x v="0"/>
    <b v="0"/>
    <s v="nil"/>
    <b v="1"/>
    <s v="not applied"/>
    <b v="1"/>
    <n v="0.01"/>
    <n v="0.01"/>
    <n v="0"/>
    <m/>
    <n v="3"/>
    <n v="4"/>
    <n v="6"/>
    <n v="1"/>
    <n v="1950"/>
    <n v="0"/>
    <n v="0"/>
    <n v="2480"/>
    <n v="0"/>
    <n v="0"/>
    <n v="0"/>
    <n v="2480"/>
    <n v="9920"/>
    <n v="2480"/>
    <n v="0"/>
    <n v="0"/>
    <n v="0"/>
    <n v="2480"/>
    <n v="3"/>
    <n v="4"/>
    <n v="5"/>
    <b v="0"/>
    <x v="0"/>
    <n v="100.48350000000001"/>
    <n v="0"/>
    <n v="100.48350000000001"/>
    <b v="0"/>
    <s v="https://www.ampc.com.au/2014/03/Extension-guide-Renewable-Energy-and-Energy-Storage-Technologies-Applicable-to-Red-Meat-Processing-Manufacturing-businesses "/>
  </r>
  <r>
    <s v="Install efficient equipment"/>
    <x v="66"/>
    <s v="yes"/>
    <m/>
    <m/>
    <m/>
    <s v="yes"/>
    <m/>
    <x v="0"/>
    <x v="0"/>
    <x v="0"/>
    <b v="1"/>
    <s v="Insufficient water recycling"/>
    <b v="1"/>
    <s v="not applied"/>
    <b v="1"/>
    <n v="0"/>
    <n v="0"/>
    <n v="0"/>
    <n v="0.1"/>
    <n v="2"/>
    <n v="4"/>
    <n v="6"/>
    <n v="1"/>
    <n v="0"/>
    <n v="0"/>
    <n v="60000"/>
    <n v="0"/>
    <n v="0"/>
    <n v="232500"/>
    <n v="0"/>
    <n v="232500"/>
    <n v="930000"/>
    <n v="0"/>
    <n v="0"/>
    <n v="232500"/>
    <n v="0"/>
    <n v="232500"/>
    <n v="3"/>
    <n v="4"/>
    <n v="5"/>
    <b v="0"/>
    <x v="0"/>
    <n v="0"/>
    <n v="0"/>
    <n v="0"/>
    <b v="0"/>
    <s v="https://www.ampc.com.au/uploads/cgblog/id165/CAP_2008_Review-of-Abattoir-water-usage-reduction-recycling-and-reuse__Final-report.pdf "/>
  </r>
  <r>
    <s v="Improve process technology"/>
    <x v="67"/>
    <m/>
    <m/>
    <s v="yes"/>
    <m/>
    <s v="yes"/>
    <m/>
    <x v="2"/>
    <x v="1"/>
    <x v="0"/>
    <b v="1"/>
    <m/>
    <b v="1"/>
    <s v="not applied"/>
    <b v="1"/>
    <n v="0.12"/>
    <n v="0.12"/>
    <n v="-0.02"/>
    <m/>
    <n v="4"/>
    <n v="6"/>
    <n v="8"/>
    <n v="1"/>
    <n v="23400"/>
    <n v="-280000"/>
    <n v="0"/>
    <n v="29760"/>
    <n v="-43000"/>
    <n v="0"/>
    <n v="0"/>
    <n v="-13240"/>
    <n v="-79440"/>
    <n v="29760"/>
    <n v="-43000"/>
    <n v="0"/>
    <n v="0"/>
    <n v="-13240"/>
    <n v="0"/>
    <n v="0"/>
    <n v="0"/>
    <b v="1"/>
    <x v="1"/>
    <n v="1205.8019999999999"/>
    <n v="-274.40000000000003"/>
    <n v="931.40199999999982"/>
    <b v="0"/>
    <s v="https://www.ampc.com.au/uploads/cgblog/id28/Heat-Recovery-From-Refrigeration-Plant.pdf "/>
  </r>
  <r>
    <s v="Improve process technology"/>
    <x v="68"/>
    <m/>
    <s v="yes"/>
    <s v="yes"/>
    <m/>
    <s v="yes"/>
    <m/>
    <x v="2"/>
    <x v="1"/>
    <x v="0"/>
    <b v="1"/>
    <s v="Batch rendering"/>
    <b v="0"/>
    <s v="not applied"/>
    <b v="1"/>
    <n v="0.1"/>
    <m/>
    <m/>
    <m/>
    <n v="3"/>
    <n v="4"/>
    <n v="6"/>
    <n v="1"/>
    <n v="19500"/>
    <n v="0"/>
    <n v="0"/>
    <n v="24800"/>
    <n v="0"/>
    <n v="0"/>
    <n v="0"/>
    <n v="24800"/>
    <n v="99200"/>
    <n v="24800"/>
    <n v="0"/>
    <n v="0"/>
    <n v="0"/>
    <n v="24800"/>
    <n v="3"/>
    <n v="4"/>
    <n v="5"/>
    <b v="0"/>
    <x v="0"/>
    <n v="1004.835"/>
    <n v="0"/>
    <n v="1004.835"/>
    <b v="0"/>
    <m/>
  </r>
  <r>
    <m/>
    <x v="69"/>
    <m/>
    <m/>
    <m/>
    <m/>
    <m/>
    <m/>
    <x v="3"/>
    <x v="3"/>
    <x v="3"/>
    <m/>
    <m/>
    <m/>
    <m/>
    <m/>
    <m/>
    <m/>
    <m/>
    <m/>
    <m/>
    <m/>
    <m/>
    <m/>
    <m/>
    <m/>
    <m/>
    <m/>
    <m/>
    <m/>
    <m/>
    <m/>
    <m/>
    <m/>
    <m/>
    <m/>
    <m/>
    <m/>
    <m/>
    <m/>
    <m/>
    <m/>
    <x v="2"/>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
  <r>
    <s v="Improve process technology"/>
    <x v="0"/>
    <s v="yes"/>
    <m/>
    <m/>
    <m/>
    <s v="yes"/>
    <m/>
    <x v="0"/>
    <x v="0"/>
    <x v="0"/>
    <b v="1"/>
    <s v="nil"/>
    <b v="1"/>
    <s v="not applied"/>
    <b v="1"/>
    <m/>
    <m/>
    <m/>
    <n v="5.000000000000001E-3"/>
    <n v="3"/>
    <n v="4"/>
    <n v="5"/>
    <n v="1"/>
    <n v="0"/>
    <n v="0"/>
    <n v="3000.0000000000005"/>
    <n v="0"/>
    <n v="0"/>
    <n v="11625.000000000002"/>
    <n v="0"/>
    <n v="11625.000000000002"/>
    <n v="46500.000000000007"/>
    <n v="0"/>
    <n v="0"/>
    <n v="11625.000000000002"/>
    <n v="0"/>
    <n v="11625.000000000002"/>
    <n v="3"/>
    <n v="4"/>
    <n v="5"/>
    <b v="0"/>
    <b v="0"/>
    <n v="0"/>
    <n v="0"/>
    <n v="0"/>
    <x v="0"/>
    <x v="0"/>
  </r>
  <r>
    <s v="Install efficient equipment"/>
    <x v="1"/>
    <s v="yes"/>
    <m/>
    <m/>
    <m/>
    <s v="yes"/>
    <m/>
    <x v="0"/>
    <x v="0"/>
    <x v="0"/>
    <b v="1"/>
    <s v="nil"/>
    <b v="1"/>
    <s v="not applied"/>
    <b v="1"/>
    <m/>
    <m/>
    <m/>
    <n v="3.0000000000000002E-2"/>
    <n v="0.2"/>
    <n v="0.3"/>
    <n v="0.4"/>
    <n v="1"/>
    <n v="0"/>
    <n v="0"/>
    <n v="18000"/>
    <n v="0"/>
    <n v="0"/>
    <n v="69750"/>
    <n v="0"/>
    <n v="69750"/>
    <n v="20925"/>
    <n v="0"/>
    <n v="0"/>
    <n v="69750"/>
    <n v="0"/>
    <n v="69750"/>
    <n v="0.22499999999999998"/>
    <n v="0.3"/>
    <n v="0.375"/>
    <b v="0"/>
    <b v="1"/>
    <n v="0"/>
    <n v="0"/>
    <n v="0"/>
    <x v="1"/>
    <x v="1"/>
  </r>
  <r>
    <s v="Improve housekeeping"/>
    <x v="2"/>
    <s v="yes"/>
    <m/>
    <m/>
    <m/>
    <s v="yes"/>
    <m/>
    <x v="1"/>
    <x v="0"/>
    <x v="0"/>
    <b v="0"/>
    <s v="nil"/>
    <b v="1"/>
    <s v="not applied"/>
    <b v="1"/>
    <m/>
    <m/>
    <m/>
    <n v="1.2000000000000002E-2"/>
    <n v="0.4"/>
    <n v="0.6"/>
    <n v="1"/>
    <n v="1"/>
    <n v="0"/>
    <n v="0"/>
    <n v="7200.0000000000009"/>
    <n v="0"/>
    <n v="0"/>
    <n v="27900.000000000004"/>
    <n v="0"/>
    <n v="27900.000000000004"/>
    <n v="16740"/>
    <n v="0"/>
    <n v="0"/>
    <n v="27900.000000000004"/>
    <n v="0"/>
    <n v="27900.000000000004"/>
    <n v="0.4499999999999999"/>
    <n v="0.59999999999999987"/>
    <n v="0.74999999999999978"/>
    <b v="0"/>
    <b v="1"/>
    <n v="0"/>
    <n v="0"/>
    <n v="0"/>
    <x v="0"/>
    <x v="0"/>
  </r>
  <r>
    <s v="Improve process technology"/>
    <x v="3"/>
    <s v="yes"/>
    <m/>
    <m/>
    <m/>
    <s v="yes"/>
    <m/>
    <x v="0"/>
    <x v="0"/>
    <x v="0"/>
    <b v="1"/>
    <s v="nil"/>
    <b v="1"/>
    <s v="not applied"/>
    <b v="1"/>
    <m/>
    <m/>
    <m/>
    <n v="3.0000000000000002E-2"/>
    <n v="0.2"/>
    <n v="0.3"/>
    <n v="1"/>
    <n v="1"/>
    <n v="0"/>
    <n v="0"/>
    <n v="18000"/>
    <n v="0"/>
    <n v="0"/>
    <n v="69750"/>
    <n v="0"/>
    <n v="69750"/>
    <n v="20925"/>
    <n v="0"/>
    <n v="0"/>
    <n v="69750"/>
    <n v="0"/>
    <n v="69750"/>
    <n v="0.22499999999999998"/>
    <n v="0.3"/>
    <n v="0.375"/>
    <b v="0"/>
    <b v="1"/>
    <n v="0"/>
    <n v="0"/>
    <n v="0"/>
    <x v="1"/>
    <x v="0"/>
  </r>
  <r>
    <s v="Improve process technology"/>
    <x v="4"/>
    <s v="yes"/>
    <m/>
    <m/>
    <m/>
    <s v="yes"/>
    <m/>
    <x v="0"/>
    <x v="0"/>
    <x v="0"/>
    <b v="1"/>
    <s v="nil"/>
    <b v="1"/>
    <s v="not applied"/>
    <b v="1"/>
    <m/>
    <m/>
    <m/>
    <n v="5.0000000000000001E-3"/>
    <n v="0.3"/>
    <n v="0.5"/>
    <n v="1"/>
    <n v="1"/>
    <n v="0"/>
    <n v="0"/>
    <n v="3000"/>
    <n v="0"/>
    <n v="0"/>
    <n v="11625"/>
    <n v="0"/>
    <n v="11625"/>
    <n v="5812.5"/>
    <n v="0"/>
    <n v="0"/>
    <n v="11625"/>
    <n v="0"/>
    <n v="11625"/>
    <n v="0.375"/>
    <n v="0.5"/>
    <n v="0.625"/>
    <b v="0"/>
    <b v="1"/>
    <n v="0"/>
    <n v="0"/>
    <n v="0"/>
    <x v="1"/>
    <x v="0"/>
  </r>
  <r>
    <s v="Improve housekeeping"/>
    <x v="5"/>
    <s v="yes"/>
    <m/>
    <m/>
    <m/>
    <s v="yes"/>
    <m/>
    <x v="1"/>
    <x v="0"/>
    <x v="0"/>
    <b v="0"/>
    <s v="nil"/>
    <b v="1"/>
    <s v="not applied"/>
    <b v="1"/>
    <m/>
    <m/>
    <m/>
    <n v="8.0000000000000002E-3"/>
    <n v="1"/>
    <n v="1.5"/>
    <n v="2"/>
    <n v="1"/>
    <n v="0"/>
    <n v="0"/>
    <n v="4800"/>
    <n v="0"/>
    <n v="0"/>
    <n v="18600"/>
    <n v="0"/>
    <n v="18600"/>
    <n v="27900"/>
    <n v="0"/>
    <n v="0"/>
    <n v="18600"/>
    <n v="0"/>
    <n v="18600"/>
    <n v="1.125"/>
    <n v="1.5"/>
    <n v="1.875"/>
    <b v="0"/>
    <b v="1"/>
    <n v="0"/>
    <n v="0"/>
    <n v="0"/>
    <x v="0"/>
    <x v="0"/>
  </r>
  <r>
    <s v="Install efficient equipment"/>
    <x v="6"/>
    <s v="yes"/>
    <m/>
    <m/>
    <m/>
    <s v="yes"/>
    <m/>
    <x v="0"/>
    <x v="0"/>
    <x v="0"/>
    <b v="1"/>
    <s v="nil"/>
    <b v="1"/>
    <s v="not applied"/>
    <b v="1"/>
    <m/>
    <m/>
    <m/>
    <n v="2.0000000000000004E-2"/>
    <n v="0.8"/>
    <n v="1"/>
    <n v="1.2"/>
    <n v="1"/>
    <n v="0"/>
    <n v="0"/>
    <n v="12000.000000000002"/>
    <n v="0"/>
    <n v="0"/>
    <n v="46500.000000000007"/>
    <n v="0"/>
    <n v="46500.000000000007"/>
    <n v="46500.000000000007"/>
    <n v="0"/>
    <n v="0"/>
    <n v="46500.000000000007"/>
    <n v="0"/>
    <n v="46500.000000000007"/>
    <n v="0.75"/>
    <n v="1"/>
    <n v="1.25"/>
    <b v="0"/>
    <b v="1"/>
    <n v="0"/>
    <n v="0"/>
    <n v="0"/>
    <x v="1"/>
    <x v="0"/>
  </r>
  <r>
    <s v="Install efficient equipment"/>
    <x v="7"/>
    <s v="yes"/>
    <m/>
    <m/>
    <m/>
    <s v="yes"/>
    <m/>
    <x v="0"/>
    <x v="0"/>
    <x v="0"/>
    <b v="1"/>
    <s v="nil"/>
    <b v="1"/>
    <s v="not applied"/>
    <b v="1"/>
    <m/>
    <m/>
    <m/>
    <n v="5.0000000000000001E-4"/>
    <n v="3"/>
    <n v="4"/>
    <n v="5"/>
    <n v="1"/>
    <n v="0"/>
    <n v="0"/>
    <n v="300"/>
    <n v="0"/>
    <n v="0"/>
    <n v="1162.5"/>
    <n v="0"/>
    <n v="1162.5"/>
    <n v="4650"/>
    <n v="0"/>
    <n v="0"/>
    <n v="1162.5"/>
    <n v="0"/>
    <n v="1162.5"/>
    <n v="3"/>
    <n v="4"/>
    <n v="5"/>
    <b v="0"/>
    <b v="0"/>
    <n v="0"/>
    <n v="0"/>
    <n v="0"/>
    <x v="0"/>
    <x v="0"/>
  </r>
  <r>
    <s v="Install efficient equipment"/>
    <x v="8"/>
    <s v="yes"/>
    <m/>
    <m/>
    <m/>
    <s v="yes"/>
    <m/>
    <x v="0"/>
    <x v="0"/>
    <x v="0"/>
    <b v="1"/>
    <s v="nil"/>
    <b v="1"/>
    <s v="not applied"/>
    <b v="1"/>
    <m/>
    <m/>
    <m/>
    <n v="1.3000000000000001E-2"/>
    <n v="1"/>
    <n v="1.5"/>
    <n v="2"/>
    <n v="1"/>
    <n v="0"/>
    <n v="0"/>
    <n v="7800.0000000000009"/>
    <n v="0"/>
    <n v="0"/>
    <n v="30225.000000000004"/>
    <n v="0"/>
    <n v="30225.000000000004"/>
    <n v="45337.500000000007"/>
    <n v="0"/>
    <n v="0"/>
    <n v="30225.000000000004"/>
    <n v="0"/>
    <n v="30225.000000000004"/>
    <n v="1.125"/>
    <n v="1.5"/>
    <n v="1.875"/>
    <b v="0"/>
    <b v="1"/>
    <n v="0"/>
    <n v="0"/>
    <n v="0"/>
    <x v="1"/>
    <x v="0"/>
  </r>
  <r>
    <s v="Install efficient equipment"/>
    <x v="9"/>
    <s v="yes"/>
    <m/>
    <m/>
    <m/>
    <s v="yes"/>
    <m/>
    <x v="0"/>
    <x v="0"/>
    <x v="0"/>
    <b v="1"/>
    <s v="nil"/>
    <b v="1"/>
    <s v="not applied"/>
    <b v="1"/>
    <m/>
    <m/>
    <m/>
    <n v="2.4000000000000004E-2"/>
    <n v="0.5"/>
    <n v="1"/>
    <n v="1.5"/>
    <n v="1"/>
    <n v="0"/>
    <n v="0"/>
    <n v="14400.000000000002"/>
    <n v="0"/>
    <n v="0"/>
    <n v="55800.000000000007"/>
    <n v="0"/>
    <n v="55800.000000000007"/>
    <n v="55800.000000000007"/>
    <n v="0"/>
    <n v="0"/>
    <n v="55800.000000000007"/>
    <n v="0"/>
    <n v="55800.000000000007"/>
    <n v="0.75"/>
    <n v="1"/>
    <n v="1.25"/>
    <b v="0"/>
    <b v="1"/>
    <n v="0"/>
    <n v="0"/>
    <n v="0"/>
    <x v="1"/>
    <x v="0"/>
  </r>
  <r>
    <s v="Install efficient equipment"/>
    <x v="10"/>
    <s v="yes"/>
    <m/>
    <m/>
    <m/>
    <s v="yes"/>
    <m/>
    <x v="0"/>
    <x v="0"/>
    <x v="0"/>
    <b v="1"/>
    <s v="nil"/>
    <b v="1"/>
    <s v="not applied"/>
    <b v="1"/>
    <m/>
    <m/>
    <m/>
    <n v="2.0000000000000004E-2"/>
    <n v="0.25"/>
    <n v="0.5"/>
    <n v="1"/>
    <n v="1"/>
    <n v="0"/>
    <n v="0"/>
    <n v="12000.000000000002"/>
    <n v="0"/>
    <n v="0"/>
    <n v="46500.000000000007"/>
    <n v="0"/>
    <n v="46500.000000000007"/>
    <n v="23250.000000000004"/>
    <n v="0"/>
    <n v="0"/>
    <n v="46500.000000000007"/>
    <n v="0"/>
    <n v="46500.000000000007"/>
    <n v="0.375"/>
    <n v="0.5"/>
    <n v="0.625"/>
    <b v="0"/>
    <b v="1"/>
    <n v="0"/>
    <n v="0"/>
    <n v="0"/>
    <x v="1"/>
    <x v="0"/>
  </r>
  <r>
    <s v="Install efficient equipment"/>
    <x v="11"/>
    <s v="yes"/>
    <m/>
    <m/>
    <m/>
    <s v="yes"/>
    <m/>
    <x v="0"/>
    <x v="0"/>
    <x v="0"/>
    <b v="1"/>
    <s v="nil"/>
    <b v="1"/>
    <s v="not applied"/>
    <b v="1"/>
    <m/>
    <m/>
    <m/>
    <n v="5.000000000000001E-3"/>
    <n v="0.25"/>
    <n v="0.5"/>
    <n v="1"/>
    <n v="1"/>
    <n v="0"/>
    <n v="0"/>
    <n v="3000.0000000000005"/>
    <n v="0"/>
    <n v="0"/>
    <n v="11625.000000000002"/>
    <n v="0"/>
    <n v="11625.000000000002"/>
    <n v="5812.5000000000009"/>
    <n v="0"/>
    <n v="0"/>
    <n v="11625.000000000002"/>
    <n v="0"/>
    <n v="11625.000000000002"/>
    <n v="0.375"/>
    <n v="0.5"/>
    <n v="0.625"/>
    <b v="0"/>
    <b v="1"/>
    <n v="0"/>
    <n v="0"/>
    <n v="0"/>
    <x v="1"/>
    <x v="0"/>
  </r>
  <r>
    <s v="Install efficient equipment"/>
    <x v="12"/>
    <s v="yes"/>
    <m/>
    <m/>
    <m/>
    <s v="yes"/>
    <m/>
    <x v="0"/>
    <x v="0"/>
    <x v="0"/>
    <b v="1"/>
    <s v="nil"/>
    <b v="1"/>
    <s v="not applied"/>
    <b v="1"/>
    <m/>
    <m/>
    <m/>
    <n v="0.06"/>
    <n v="1"/>
    <n v="1.5"/>
    <n v="2"/>
    <n v="1"/>
    <n v="0"/>
    <n v="0"/>
    <n v="36000"/>
    <n v="0"/>
    <n v="0"/>
    <n v="139500"/>
    <n v="0"/>
    <n v="139500"/>
    <n v="209250"/>
    <n v="0"/>
    <n v="0"/>
    <n v="139500"/>
    <n v="0"/>
    <n v="139500"/>
    <n v="1.125"/>
    <n v="1.5"/>
    <n v="1.875"/>
    <b v="0"/>
    <b v="1"/>
    <n v="0"/>
    <n v="0"/>
    <n v="0"/>
    <x v="1"/>
    <x v="0"/>
  </r>
  <r>
    <s v="Install efficient equipment"/>
    <x v="13"/>
    <s v="yes"/>
    <m/>
    <m/>
    <m/>
    <s v="yes"/>
    <m/>
    <x v="0"/>
    <x v="0"/>
    <x v="0"/>
    <b v="1"/>
    <s v="nil"/>
    <b v="1"/>
    <s v="not applied"/>
    <b v="1"/>
    <m/>
    <m/>
    <m/>
    <n v="4.2000000000000003E-2"/>
    <n v="0.5"/>
    <n v="1"/>
    <n v="1.5"/>
    <n v="1"/>
    <n v="0"/>
    <n v="0"/>
    <n v="25200"/>
    <n v="0"/>
    <n v="0"/>
    <n v="97650"/>
    <n v="0"/>
    <n v="97650"/>
    <n v="97650"/>
    <n v="0"/>
    <n v="0"/>
    <n v="97650"/>
    <n v="0"/>
    <n v="97650"/>
    <n v="0.75"/>
    <n v="1"/>
    <n v="1.25"/>
    <b v="0"/>
    <b v="1"/>
    <n v="0"/>
    <n v="0"/>
    <n v="0"/>
    <x v="1"/>
    <x v="0"/>
  </r>
  <r>
    <s v="Install efficient equipment"/>
    <x v="14"/>
    <s v="yes"/>
    <m/>
    <m/>
    <m/>
    <s v="yes"/>
    <m/>
    <x v="0"/>
    <x v="0"/>
    <x v="0"/>
    <b v="1"/>
    <s v="nil"/>
    <b v="1"/>
    <s v="not applied"/>
    <b v="1"/>
    <m/>
    <m/>
    <m/>
    <n v="1.5000000000000001E-2"/>
    <n v="5"/>
    <n v="6"/>
    <n v="7"/>
    <n v="1"/>
    <n v="0"/>
    <n v="0"/>
    <n v="9000"/>
    <n v="0"/>
    <n v="0"/>
    <n v="34875"/>
    <n v="0"/>
    <n v="34875"/>
    <n v="209250"/>
    <n v="0"/>
    <n v="0"/>
    <n v="34875"/>
    <n v="0"/>
    <n v="34875"/>
    <n v="4.5"/>
    <n v="6"/>
    <n v="7.5"/>
    <b v="0"/>
    <b v="0"/>
    <n v="0"/>
    <n v="0"/>
    <n v="0"/>
    <x v="0"/>
    <x v="0"/>
  </r>
  <r>
    <s v="Install efficient equipment"/>
    <x v="15"/>
    <s v="yes"/>
    <m/>
    <m/>
    <m/>
    <s v="yes"/>
    <m/>
    <x v="0"/>
    <x v="0"/>
    <x v="0"/>
    <b v="1"/>
    <s v="nil"/>
    <b v="1"/>
    <s v="not applied"/>
    <b v="1"/>
    <m/>
    <m/>
    <m/>
    <n v="3.0000000000000002E-2"/>
    <n v="1"/>
    <n v="1.5"/>
    <n v="2"/>
    <n v="1"/>
    <n v="0"/>
    <n v="0"/>
    <n v="18000"/>
    <n v="0"/>
    <n v="0"/>
    <n v="69750"/>
    <n v="0"/>
    <n v="69750"/>
    <n v="104625"/>
    <n v="0"/>
    <n v="0"/>
    <n v="69750"/>
    <n v="0"/>
    <n v="69750"/>
    <n v="1.125"/>
    <n v="1.5"/>
    <n v="1.875"/>
    <b v="0"/>
    <b v="1"/>
    <n v="0"/>
    <n v="0"/>
    <n v="0"/>
    <x v="1"/>
    <x v="0"/>
  </r>
  <r>
    <s v="Install efficient equipment"/>
    <x v="16"/>
    <s v="yes"/>
    <m/>
    <m/>
    <m/>
    <s v="yes"/>
    <m/>
    <x v="0"/>
    <x v="0"/>
    <x v="0"/>
    <b v="1"/>
    <s v="nil"/>
    <b v="1"/>
    <s v="not applied"/>
    <b v="1"/>
    <m/>
    <m/>
    <m/>
    <n v="1.0000000000000002E-2"/>
    <n v="2"/>
    <n v="3"/>
    <n v="5"/>
    <n v="1"/>
    <n v="0"/>
    <n v="0"/>
    <n v="6000.0000000000009"/>
    <n v="0"/>
    <n v="0"/>
    <n v="23250.000000000004"/>
    <n v="0"/>
    <n v="23250.000000000004"/>
    <n v="69750.000000000015"/>
    <n v="0"/>
    <n v="0"/>
    <n v="23250.000000000004"/>
    <n v="0"/>
    <n v="23250.000000000004"/>
    <n v="2.25"/>
    <n v="3"/>
    <n v="3.75"/>
    <b v="0"/>
    <b v="1"/>
    <n v="0"/>
    <n v="0"/>
    <n v="0"/>
    <x v="1"/>
    <x v="0"/>
  </r>
  <r>
    <s v="Install efficient equipment"/>
    <x v="17"/>
    <s v="yes"/>
    <m/>
    <m/>
    <m/>
    <s v="yes"/>
    <m/>
    <x v="0"/>
    <x v="0"/>
    <x v="0"/>
    <b v="1"/>
    <s v="nil"/>
    <b v="1"/>
    <s v="not applied"/>
    <b v="1"/>
    <m/>
    <m/>
    <m/>
    <n v="3.2876712328767134E-2"/>
    <n v="1"/>
    <n v="2"/>
    <n v="3"/>
    <n v="1"/>
    <n v="0"/>
    <n v="0"/>
    <n v="19726.027397260281"/>
    <n v="0"/>
    <n v="0"/>
    <n v="76438.356164383586"/>
    <n v="0"/>
    <n v="76438.356164383586"/>
    <n v="152876.71232876717"/>
    <n v="0"/>
    <n v="0"/>
    <n v="76438.356164383586"/>
    <n v="0"/>
    <n v="76438.356164383586"/>
    <n v="1.5"/>
    <n v="2"/>
    <n v="2.5"/>
    <b v="0"/>
    <b v="1"/>
    <n v="0"/>
    <n v="0"/>
    <n v="0"/>
    <x v="1"/>
    <x v="0"/>
  </r>
  <r>
    <s v="Install efficient equipment"/>
    <x v="18"/>
    <s v="yes"/>
    <m/>
    <m/>
    <m/>
    <s v="yes"/>
    <m/>
    <x v="0"/>
    <x v="0"/>
    <x v="0"/>
    <b v="1"/>
    <s v="nil"/>
    <b v="1"/>
    <s v="not applied"/>
    <b v="1"/>
    <m/>
    <m/>
    <n v="0.01"/>
    <n v="0.05"/>
    <n v="2"/>
    <n v="3"/>
    <n v="4"/>
    <n v="1"/>
    <n v="0"/>
    <n v="140000"/>
    <n v="30000"/>
    <n v="0"/>
    <n v="21500"/>
    <n v="116250"/>
    <n v="0"/>
    <n v="137750"/>
    <n v="413250"/>
    <n v="0"/>
    <n v="21500"/>
    <n v="116250"/>
    <n v="0"/>
    <n v="137750"/>
    <n v="2.25"/>
    <n v="3"/>
    <n v="3.75"/>
    <b v="0"/>
    <b v="1"/>
    <n v="0"/>
    <n v="137.20000000000002"/>
    <n v="137.20000000000002"/>
    <x v="1"/>
    <x v="0"/>
  </r>
  <r>
    <s v="Install efficient equipment"/>
    <x v="19"/>
    <m/>
    <s v="yes"/>
    <s v="yes"/>
    <m/>
    <s v="yes"/>
    <m/>
    <x v="2"/>
    <x v="1"/>
    <x v="0"/>
    <b v="1"/>
    <s v="nil"/>
    <b v="1"/>
    <s v="not applied"/>
    <b v="1"/>
    <n v="0.01"/>
    <n v="0.01"/>
    <n v="0"/>
    <m/>
    <n v="2"/>
    <n v="3"/>
    <n v="4"/>
    <n v="1"/>
    <n v="1950"/>
    <n v="0"/>
    <n v="0"/>
    <n v="2480"/>
    <n v="0"/>
    <n v="0"/>
    <n v="0"/>
    <n v="2480"/>
    <n v="7440"/>
    <n v="2480"/>
    <n v="0"/>
    <n v="0"/>
    <n v="0"/>
    <n v="2480"/>
    <n v="2.25"/>
    <n v="3"/>
    <n v="3.75"/>
    <b v="0"/>
    <b v="1"/>
    <n v="100.48350000000001"/>
    <n v="0"/>
    <n v="100.48350000000001"/>
    <x v="1"/>
    <x v="2"/>
  </r>
  <r>
    <s v="Install efficient equipment"/>
    <x v="20"/>
    <m/>
    <s v="yes"/>
    <s v="yes"/>
    <m/>
    <s v="yes"/>
    <m/>
    <x v="2"/>
    <x v="1"/>
    <x v="0"/>
    <b v="1"/>
    <s v="nil"/>
    <b v="1"/>
    <s v="not applied"/>
    <b v="1"/>
    <n v="0.05"/>
    <n v="7.0000000000000007E-2"/>
    <n v="0"/>
    <m/>
    <n v="3"/>
    <n v="4"/>
    <n v="5"/>
    <n v="1"/>
    <n v="9750"/>
    <n v="0"/>
    <n v="0"/>
    <n v="12400"/>
    <n v="0"/>
    <n v="0"/>
    <n v="0"/>
    <n v="12400"/>
    <n v="49600"/>
    <n v="12400"/>
    <n v="0"/>
    <n v="0"/>
    <n v="0"/>
    <n v="12400"/>
    <n v="3"/>
    <n v="4"/>
    <n v="5"/>
    <b v="0"/>
    <b v="0"/>
    <n v="502.41750000000002"/>
    <n v="0"/>
    <n v="502.41750000000002"/>
    <x v="0"/>
    <x v="3"/>
  </r>
  <r>
    <s v="Install efficient equipment"/>
    <x v="21"/>
    <m/>
    <s v="yes"/>
    <s v="yes"/>
    <m/>
    <s v="yes"/>
    <m/>
    <x v="2"/>
    <x v="1"/>
    <x v="0"/>
    <b v="1"/>
    <s v="nil"/>
    <b v="1"/>
    <s v="not applied"/>
    <b v="1"/>
    <n v="0.01"/>
    <n v="1.4999999999999999E-2"/>
    <n v="0"/>
    <m/>
    <n v="2.5"/>
    <n v="4"/>
    <n v="3.5"/>
    <n v="1"/>
    <n v="1950"/>
    <n v="0"/>
    <n v="0"/>
    <n v="2480"/>
    <n v="0"/>
    <n v="0"/>
    <n v="0"/>
    <n v="2480"/>
    <n v="9920"/>
    <n v="2480"/>
    <n v="0"/>
    <n v="0"/>
    <n v="0"/>
    <n v="2480"/>
    <n v="3"/>
    <n v="4"/>
    <n v="5"/>
    <b v="0"/>
    <b v="0"/>
    <n v="100.48350000000001"/>
    <n v="0"/>
    <n v="100.48350000000001"/>
    <x v="0"/>
    <x v="3"/>
  </r>
  <r>
    <s v="Install efficient equipment"/>
    <x v="22"/>
    <m/>
    <s v="yes"/>
    <s v="yes"/>
    <m/>
    <s v="yes"/>
    <m/>
    <x v="2"/>
    <x v="1"/>
    <x v="0"/>
    <b v="1"/>
    <s v="nil"/>
    <b v="1"/>
    <s v="not applied"/>
    <b v="1"/>
    <n v="5.0000000000000001E-3"/>
    <n v="0.01"/>
    <n v="0"/>
    <m/>
    <n v="2"/>
    <n v="4"/>
    <n v="4"/>
    <n v="1"/>
    <n v="975"/>
    <n v="0"/>
    <n v="0"/>
    <n v="1240"/>
    <n v="0"/>
    <n v="0"/>
    <n v="0"/>
    <n v="1240"/>
    <n v="4960"/>
    <n v="1240"/>
    <n v="0"/>
    <n v="0"/>
    <n v="0"/>
    <n v="1240"/>
    <n v="3"/>
    <n v="4"/>
    <n v="5"/>
    <b v="0"/>
    <b v="0"/>
    <n v="50.241750000000003"/>
    <n v="0"/>
    <n v="50.241750000000003"/>
    <x v="0"/>
    <x v="3"/>
  </r>
  <r>
    <s v="Install efficient equipment"/>
    <x v="23"/>
    <m/>
    <s v="yes"/>
    <s v="yes"/>
    <m/>
    <s v="yes"/>
    <m/>
    <x v="2"/>
    <x v="1"/>
    <x v="0"/>
    <b v="1"/>
    <s v="Any rendering"/>
    <b v="1"/>
    <s v="not applied"/>
    <b v="1"/>
    <n v="5.0000000000000001E-3"/>
    <n v="5.0000000000000001E-3"/>
    <n v="0"/>
    <m/>
    <n v="1"/>
    <n v="2"/>
    <n v="3"/>
    <n v="1"/>
    <n v="975"/>
    <n v="0"/>
    <n v="0"/>
    <n v="1240"/>
    <n v="0"/>
    <n v="0"/>
    <n v="0"/>
    <n v="1240"/>
    <n v="2480"/>
    <n v="1240"/>
    <n v="0"/>
    <n v="0"/>
    <n v="0"/>
    <n v="1240"/>
    <n v="1.5"/>
    <n v="2"/>
    <n v="2.5"/>
    <b v="0"/>
    <b v="1"/>
    <n v="50.241750000000003"/>
    <n v="0"/>
    <n v="50.241750000000003"/>
    <x v="1"/>
    <x v="2"/>
  </r>
  <r>
    <s v="Install efficient equipment"/>
    <x v="24"/>
    <m/>
    <s v="yes"/>
    <s v="yes"/>
    <m/>
    <s v="yes"/>
    <m/>
    <x v="2"/>
    <x v="1"/>
    <x v="0"/>
    <b v="1"/>
    <s v="nil"/>
    <b v="1"/>
    <s v="not applied"/>
    <b v="1"/>
    <n v="1.4999999999999999E-2"/>
    <n v="0.02"/>
    <n v="0"/>
    <m/>
    <n v="0.5"/>
    <n v="1"/>
    <n v="1.5"/>
    <n v="1"/>
    <n v="2925"/>
    <n v="0"/>
    <n v="0"/>
    <n v="3720"/>
    <n v="0"/>
    <n v="0"/>
    <n v="0"/>
    <n v="3720"/>
    <n v="3720"/>
    <n v="3720"/>
    <n v="0"/>
    <n v="0"/>
    <n v="0"/>
    <n v="3720"/>
    <n v="0.75"/>
    <n v="1"/>
    <n v="1.25"/>
    <b v="0"/>
    <b v="1"/>
    <n v="150.72524999999999"/>
    <n v="0"/>
    <n v="150.72524999999999"/>
    <x v="1"/>
    <x v="2"/>
  </r>
  <r>
    <s v="Install efficient equipment"/>
    <x v="25"/>
    <m/>
    <m/>
    <m/>
    <s v="yes"/>
    <s v="yes"/>
    <m/>
    <x v="2"/>
    <x v="0"/>
    <x v="1"/>
    <b v="0"/>
    <s v="nil"/>
    <b v="1"/>
    <s v="not applied"/>
    <b v="1"/>
    <n v="0"/>
    <n v="0"/>
    <n v="0.03"/>
    <m/>
    <n v="2"/>
    <n v="3"/>
    <n v="4"/>
    <n v="1"/>
    <n v="0"/>
    <n v="420000"/>
    <n v="0"/>
    <n v="0"/>
    <n v="64500.000000000007"/>
    <n v="0"/>
    <n v="0"/>
    <n v="64500.000000000007"/>
    <n v="193500.00000000003"/>
    <n v="0"/>
    <n v="64500.000000000007"/>
    <n v="0"/>
    <n v="0"/>
    <n v="64500.000000000007"/>
    <n v="2.25"/>
    <n v="3"/>
    <n v="3.75"/>
    <b v="0"/>
    <b v="1"/>
    <n v="0"/>
    <n v="411.59999999999997"/>
    <n v="411.59999999999997"/>
    <x v="0"/>
    <x v="4"/>
  </r>
  <r>
    <s v="Install efficient equipment"/>
    <x v="26"/>
    <m/>
    <m/>
    <m/>
    <s v="yes"/>
    <s v="yes"/>
    <m/>
    <x v="2"/>
    <x v="0"/>
    <x v="1"/>
    <b v="0"/>
    <s v="nil"/>
    <b v="1"/>
    <s v="not applied"/>
    <b v="1"/>
    <n v="0"/>
    <n v="0"/>
    <n v="0.02"/>
    <m/>
    <n v="2"/>
    <n v="3"/>
    <n v="4"/>
    <n v="1"/>
    <n v="0"/>
    <n v="280000"/>
    <n v="0"/>
    <n v="0"/>
    <n v="43000"/>
    <n v="0"/>
    <n v="0"/>
    <n v="43000"/>
    <n v="129000"/>
    <n v="0"/>
    <n v="43000"/>
    <n v="0"/>
    <n v="0"/>
    <n v="43000"/>
    <n v="2.25"/>
    <n v="3"/>
    <n v="3.75"/>
    <b v="0"/>
    <b v="1"/>
    <n v="0"/>
    <n v="274.40000000000003"/>
    <n v="274.40000000000003"/>
    <x v="0"/>
    <x v="4"/>
  </r>
  <r>
    <s v="Install efficient equipment"/>
    <x v="27"/>
    <m/>
    <m/>
    <m/>
    <s v="yes"/>
    <s v="yes"/>
    <m/>
    <x v="2"/>
    <x v="0"/>
    <x v="1"/>
    <b v="0"/>
    <s v="nil"/>
    <b v="1"/>
    <s v="not applied"/>
    <b v="1"/>
    <n v="0"/>
    <n v="0"/>
    <n v="0.02"/>
    <m/>
    <n v="2"/>
    <n v="3"/>
    <n v="4"/>
    <n v="1"/>
    <n v="0"/>
    <n v="280000"/>
    <n v="0"/>
    <n v="0"/>
    <n v="43000"/>
    <n v="0"/>
    <n v="0"/>
    <n v="43000"/>
    <n v="129000"/>
    <n v="0"/>
    <n v="43000"/>
    <n v="0"/>
    <n v="0"/>
    <n v="43000"/>
    <n v="2.25"/>
    <n v="3"/>
    <n v="3.75"/>
    <b v="0"/>
    <b v="1"/>
    <n v="0"/>
    <n v="274.40000000000003"/>
    <n v="274.40000000000003"/>
    <x v="0"/>
    <x v="4"/>
  </r>
  <r>
    <s v="Install efficient equipment"/>
    <x v="28"/>
    <m/>
    <m/>
    <m/>
    <s v="yes"/>
    <s v="yes"/>
    <m/>
    <x v="2"/>
    <x v="0"/>
    <x v="1"/>
    <b v="0"/>
    <s v="nil"/>
    <b v="1"/>
    <s v="not applied"/>
    <b v="1"/>
    <n v="0"/>
    <n v="0"/>
    <n v="5.0000000000000001E-3"/>
    <m/>
    <n v="2"/>
    <n v="3"/>
    <n v="4"/>
    <n v="1"/>
    <n v="0"/>
    <n v="70000"/>
    <n v="0"/>
    <n v="0"/>
    <n v="10750"/>
    <n v="0"/>
    <n v="0"/>
    <n v="10750"/>
    <n v="32250"/>
    <n v="0"/>
    <n v="10750"/>
    <n v="0"/>
    <n v="0"/>
    <n v="10750"/>
    <n v="2.25"/>
    <n v="3"/>
    <n v="3.75"/>
    <b v="0"/>
    <b v="1"/>
    <n v="0"/>
    <n v="68.600000000000009"/>
    <n v="68.600000000000009"/>
    <x v="0"/>
    <x v="0"/>
  </r>
  <r>
    <s v="Install efficient equipment"/>
    <x v="29"/>
    <m/>
    <m/>
    <m/>
    <s v="yes"/>
    <s v="yes"/>
    <m/>
    <x v="2"/>
    <x v="0"/>
    <x v="1"/>
    <b v="0"/>
    <s v="nil"/>
    <b v="1"/>
    <s v="not applied"/>
    <b v="1"/>
    <n v="0"/>
    <n v="0"/>
    <n v="5.0000000000000001E-3"/>
    <m/>
    <n v="3"/>
    <n v="4"/>
    <n v="5"/>
    <n v="1"/>
    <n v="0"/>
    <n v="70000"/>
    <n v="0"/>
    <n v="0"/>
    <n v="10750"/>
    <n v="0"/>
    <n v="0"/>
    <n v="10750"/>
    <n v="43000"/>
    <n v="0"/>
    <n v="10750"/>
    <n v="0"/>
    <n v="0"/>
    <n v="10750"/>
    <n v="3"/>
    <n v="4"/>
    <n v="5"/>
    <b v="0"/>
    <b v="0"/>
    <n v="0"/>
    <n v="68.600000000000009"/>
    <n v="68.600000000000009"/>
    <x v="0"/>
    <x v="5"/>
  </r>
  <r>
    <s v="Install efficient equipment"/>
    <x v="30"/>
    <m/>
    <m/>
    <m/>
    <s v="yes"/>
    <s v="yes"/>
    <m/>
    <x v="2"/>
    <x v="0"/>
    <x v="1"/>
    <b v="0"/>
    <s v="nil"/>
    <b v="1"/>
    <s v="not applied"/>
    <b v="1"/>
    <n v="4.8433968356474009E-3"/>
    <n v="4.8433968356474009E-3"/>
    <n v="0.02"/>
    <m/>
    <n v="2"/>
    <n v="3"/>
    <n v="4"/>
    <n v="1"/>
    <n v="944.46238295124317"/>
    <n v="280000"/>
    <n v="0"/>
    <n v="1201.1624152405554"/>
    <n v="43000"/>
    <n v="0"/>
    <n v="0"/>
    <n v="44201.162415240557"/>
    <n v="132603.48724572168"/>
    <n v="1201.1624152405554"/>
    <n v="43000"/>
    <n v="0"/>
    <n v="0"/>
    <n v="44201.162415240557"/>
    <n v="2.2500000000000004"/>
    <n v="3.0000000000000004"/>
    <n v="3.7500000000000004"/>
    <b v="0"/>
    <b v="1"/>
    <n v="48.668146593477566"/>
    <n v="274.40000000000003"/>
    <n v="323.06814659347759"/>
    <x v="0"/>
    <x v="6"/>
  </r>
  <r>
    <s v="Install efficient equipment"/>
    <x v="31"/>
    <m/>
    <m/>
    <m/>
    <s v="yes"/>
    <s v="yes"/>
    <m/>
    <x v="2"/>
    <x v="0"/>
    <x v="1"/>
    <b v="0"/>
    <s v="nil"/>
    <b v="1"/>
    <s v="not applied"/>
    <b v="1"/>
    <n v="0"/>
    <n v="0"/>
    <n v="0.02"/>
    <m/>
    <n v="3"/>
    <n v="4"/>
    <n v="5"/>
    <n v="1"/>
    <n v="0"/>
    <n v="280000"/>
    <n v="0"/>
    <n v="0"/>
    <n v="43000"/>
    <n v="0"/>
    <n v="0"/>
    <n v="43000"/>
    <n v="172000"/>
    <n v="0"/>
    <n v="43000"/>
    <n v="0"/>
    <n v="0"/>
    <n v="43000"/>
    <n v="3"/>
    <n v="4"/>
    <n v="5"/>
    <b v="0"/>
    <b v="0"/>
    <n v="0"/>
    <n v="274.40000000000003"/>
    <n v="274.40000000000003"/>
    <x v="0"/>
    <x v="4"/>
  </r>
  <r>
    <s v="Install efficient equipment"/>
    <x v="32"/>
    <m/>
    <m/>
    <m/>
    <s v="yes"/>
    <s v="yes"/>
    <m/>
    <x v="2"/>
    <x v="0"/>
    <x v="1"/>
    <b v="0"/>
    <s v="nil"/>
    <b v="1"/>
    <s v="not applied"/>
    <b v="1"/>
    <n v="0"/>
    <n v="0"/>
    <n v="0.04"/>
    <m/>
    <n v="3"/>
    <n v="4"/>
    <n v="5"/>
    <n v="1"/>
    <n v="0"/>
    <n v="560000"/>
    <n v="0"/>
    <n v="0"/>
    <n v="86000"/>
    <n v="0"/>
    <n v="0"/>
    <n v="86000"/>
    <n v="344000"/>
    <n v="0"/>
    <n v="86000"/>
    <n v="0"/>
    <n v="0"/>
    <n v="86000"/>
    <n v="3"/>
    <n v="4"/>
    <n v="5"/>
    <b v="0"/>
    <b v="0"/>
    <n v="0"/>
    <n v="548.80000000000007"/>
    <n v="548.80000000000007"/>
    <x v="0"/>
    <x v="4"/>
  </r>
  <r>
    <s v="Improve process technology"/>
    <x v="33"/>
    <s v="yes"/>
    <m/>
    <m/>
    <m/>
    <s v="yes"/>
    <m/>
    <x v="0"/>
    <x v="0"/>
    <x v="0"/>
    <b v="1"/>
    <s v="nil"/>
    <b v="1"/>
    <s v="not applied"/>
    <b v="1"/>
    <m/>
    <m/>
    <m/>
    <n v="4.4000000000000004E-2"/>
    <n v="0.5"/>
    <n v="0.75"/>
    <n v="1"/>
    <n v="1"/>
    <n v="0"/>
    <n v="0"/>
    <n v="26400.000000000004"/>
    <n v="0"/>
    <n v="0"/>
    <n v="102300.00000000001"/>
    <n v="0"/>
    <n v="102300.00000000001"/>
    <n v="76725.000000000015"/>
    <n v="0"/>
    <n v="0"/>
    <n v="102300.00000000001"/>
    <n v="0"/>
    <n v="102300.00000000001"/>
    <n v="0.5625"/>
    <n v="0.75"/>
    <n v="0.9375"/>
    <b v="0"/>
    <b v="1"/>
    <n v="0"/>
    <n v="0"/>
    <n v="0"/>
    <x v="1"/>
    <x v="0"/>
  </r>
  <r>
    <s v="Improve process technology"/>
    <x v="34"/>
    <s v="yes"/>
    <m/>
    <m/>
    <m/>
    <s v="yes"/>
    <m/>
    <x v="0"/>
    <x v="0"/>
    <x v="0"/>
    <b v="1"/>
    <s v="nil"/>
    <b v="1"/>
    <s v="not applied"/>
    <b v="1"/>
    <m/>
    <m/>
    <m/>
    <n v="0.02"/>
    <n v="1"/>
    <n v="2"/>
    <n v="3"/>
    <n v="1"/>
    <n v="0"/>
    <n v="0"/>
    <n v="12000"/>
    <n v="0"/>
    <n v="0"/>
    <n v="46500"/>
    <n v="0"/>
    <n v="46500"/>
    <n v="93000"/>
    <n v="0"/>
    <n v="0"/>
    <n v="46500"/>
    <n v="0"/>
    <n v="46500"/>
    <n v="1.5"/>
    <n v="2"/>
    <n v="2.5"/>
    <b v="0"/>
    <b v="1"/>
    <n v="0"/>
    <n v="0"/>
    <n v="0"/>
    <x v="1"/>
    <x v="0"/>
  </r>
  <r>
    <s v="Improve process technology"/>
    <x v="35"/>
    <s v="yes"/>
    <m/>
    <m/>
    <m/>
    <s v="yes"/>
    <m/>
    <x v="0"/>
    <x v="0"/>
    <x v="0"/>
    <b v="1"/>
    <s v="nil"/>
    <b v="1"/>
    <s v="not applied"/>
    <b v="1"/>
    <m/>
    <m/>
    <m/>
    <n v="0.1"/>
    <n v="2"/>
    <n v="3"/>
    <n v="4"/>
    <n v="1"/>
    <n v="0"/>
    <n v="0"/>
    <n v="60000"/>
    <n v="0"/>
    <n v="0"/>
    <n v="232500"/>
    <n v="0"/>
    <n v="232500"/>
    <n v="697500"/>
    <n v="0"/>
    <n v="0"/>
    <n v="232500"/>
    <n v="0"/>
    <n v="232500"/>
    <n v="2.25"/>
    <n v="3"/>
    <n v="3.75"/>
    <b v="0"/>
    <b v="1"/>
    <n v="0"/>
    <n v="0"/>
    <n v="0"/>
    <x v="1"/>
    <x v="0"/>
  </r>
  <r>
    <s v="Improve process technology"/>
    <x v="36"/>
    <m/>
    <s v="yes"/>
    <s v="yes"/>
    <m/>
    <s v="yes"/>
    <m/>
    <x v="2"/>
    <x v="1"/>
    <x v="0"/>
    <b v="1"/>
    <s v="nil"/>
    <b v="1"/>
    <s v="not applied"/>
    <b v="1"/>
    <n v="0.03"/>
    <n v="0.05"/>
    <n v="0"/>
    <m/>
    <n v="2"/>
    <n v="3"/>
    <n v="4"/>
    <n v="1"/>
    <n v="5850"/>
    <n v="0"/>
    <n v="0"/>
    <n v="7440"/>
    <n v="0"/>
    <n v="0"/>
    <n v="0"/>
    <n v="7440"/>
    <n v="22320"/>
    <n v="7440"/>
    <n v="0"/>
    <n v="0"/>
    <n v="0"/>
    <n v="7440"/>
    <n v="2.25"/>
    <n v="3"/>
    <n v="3.75"/>
    <b v="0"/>
    <b v="1"/>
    <n v="301.45049999999998"/>
    <n v="0"/>
    <n v="301.45049999999998"/>
    <x v="1"/>
    <x v="7"/>
  </r>
  <r>
    <s v="Improve process technology"/>
    <x v="37"/>
    <m/>
    <s v="yes"/>
    <s v="yes"/>
    <m/>
    <s v="yes"/>
    <m/>
    <x v="2"/>
    <x v="1"/>
    <x v="0"/>
    <b v="1"/>
    <s v="nil"/>
    <b v="1"/>
    <s v="not applied"/>
    <b v="1"/>
    <n v="6.0000000000000001E-3"/>
    <n v="6.0000000000000001E-3"/>
    <n v="0"/>
    <m/>
    <n v="4"/>
    <n v="5"/>
    <n v="6"/>
    <n v="2"/>
    <n v="1170"/>
    <n v="0"/>
    <n v="0"/>
    <n v="1488"/>
    <n v="0"/>
    <n v="0"/>
    <n v="1488"/>
    <n v="2976"/>
    <n v="14880"/>
    <n v="1488"/>
    <n v="0"/>
    <n v="0"/>
    <n v="1488"/>
    <n v="2976"/>
    <n v="3.75"/>
    <n v="5"/>
    <n v="6.25"/>
    <b v="0"/>
    <b v="0"/>
    <n v="60.290100000000002"/>
    <n v="0"/>
    <n v="60.290100000000002"/>
    <x v="0"/>
    <x v="2"/>
  </r>
  <r>
    <s v="Improve process technology"/>
    <x v="38"/>
    <m/>
    <s v="yes"/>
    <s v="yes"/>
    <m/>
    <s v="yes"/>
    <m/>
    <x v="2"/>
    <x v="1"/>
    <x v="0"/>
    <b v="1"/>
    <s v="Any rendering"/>
    <b v="1"/>
    <s v="not applied"/>
    <b v="1"/>
    <n v="0.02"/>
    <n v="0.03"/>
    <n v="0"/>
    <m/>
    <n v="6"/>
    <n v="6"/>
    <n v="10"/>
    <n v="1.5"/>
    <n v="3900"/>
    <n v="0"/>
    <n v="0"/>
    <n v="4960"/>
    <n v="0"/>
    <n v="0"/>
    <n v="2480"/>
    <n v="7440"/>
    <n v="44640"/>
    <n v="4960"/>
    <n v="0"/>
    <n v="0"/>
    <n v="2480"/>
    <n v="7440"/>
    <n v="4.5"/>
    <n v="6"/>
    <n v="7.5"/>
    <b v="0"/>
    <b v="0"/>
    <n v="200.96700000000001"/>
    <n v="0"/>
    <n v="200.96700000000001"/>
    <x v="0"/>
    <x v="2"/>
  </r>
  <r>
    <s v="Improve process technology"/>
    <x v="39"/>
    <s v="yes"/>
    <s v="yes"/>
    <s v="yes"/>
    <s v="yes"/>
    <s v="yes"/>
    <m/>
    <x v="0"/>
    <x v="1"/>
    <x v="1"/>
    <b v="1"/>
    <s v="nil"/>
    <b v="1"/>
    <s v="not applied"/>
    <b v="1"/>
    <n v="0.02"/>
    <n v="0.02"/>
    <n v="0.02"/>
    <n v="0.02"/>
    <n v="1"/>
    <n v="2"/>
    <n v="3"/>
    <n v="1"/>
    <n v="3900"/>
    <n v="280000"/>
    <n v="12000"/>
    <n v="4960"/>
    <n v="43000"/>
    <n v="46500"/>
    <n v="0"/>
    <n v="94460"/>
    <n v="188920"/>
    <n v="4960"/>
    <n v="43000"/>
    <n v="46500"/>
    <n v="0"/>
    <n v="94460"/>
    <n v="1.5"/>
    <n v="2"/>
    <n v="2.5"/>
    <b v="0"/>
    <b v="1"/>
    <n v="200.96700000000001"/>
    <n v="274.40000000000003"/>
    <n v="475.36700000000008"/>
    <x v="1"/>
    <x v="2"/>
  </r>
  <r>
    <s v="Install efficient equipment"/>
    <x v="40"/>
    <m/>
    <m/>
    <m/>
    <s v="yes"/>
    <s v="yes"/>
    <m/>
    <x v="2"/>
    <x v="0"/>
    <x v="1"/>
    <b v="0"/>
    <s v="nil"/>
    <b v="1"/>
    <s v="not applied"/>
    <b v="1"/>
    <n v="5.0000000000000001E-3"/>
    <n v="8.0000000000000002E-3"/>
    <n v="-2.0000000000000002E-5"/>
    <m/>
    <n v="3"/>
    <n v="4"/>
    <n v="5"/>
    <n v="1"/>
    <n v="975"/>
    <n v="-280"/>
    <n v="0"/>
    <n v="1240"/>
    <n v="-43"/>
    <n v="0"/>
    <n v="0"/>
    <n v="1197"/>
    <n v="4788"/>
    <n v="1240"/>
    <n v="-43"/>
    <n v="0"/>
    <n v="0"/>
    <n v="1197"/>
    <n v="3"/>
    <n v="4"/>
    <n v="5"/>
    <b v="0"/>
    <b v="0"/>
    <n v="50.241750000000003"/>
    <n v="-0.27439999999999998"/>
    <n v="49.967350000000003"/>
    <x v="0"/>
    <x v="8"/>
  </r>
  <r>
    <s v="Improve process technology"/>
    <x v="41"/>
    <m/>
    <m/>
    <m/>
    <s v="yes"/>
    <s v="yes"/>
    <m/>
    <x v="2"/>
    <x v="0"/>
    <x v="1"/>
    <b v="0"/>
    <s v="nil"/>
    <b v="1"/>
    <s v="not applied"/>
    <b v="1"/>
    <n v="0"/>
    <n v="0"/>
    <n v="5.0000000000000001E-3"/>
    <m/>
    <n v="1"/>
    <n v="2"/>
    <n v="3"/>
    <n v="1"/>
    <n v="0"/>
    <n v="70000"/>
    <n v="0"/>
    <n v="0"/>
    <n v="10750"/>
    <n v="0"/>
    <n v="0"/>
    <n v="10750"/>
    <n v="21500"/>
    <n v="0"/>
    <n v="10750"/>
    <n v="0"/>
    <n v="0"/>
    <n v="10750"/>
    <n v="1.5"/>
    <n v="2"/>
    <n v="2.5"/>
    <b v="0"/>
    <b v="1"/>
    <n v="0"/>
    <n v="68.600000000000009"/>
    <n v="68.600000000000009"/>
    <x v="0"/>
    <x v="2"/>
  </r>
  <r>
    <s v="Improve housekeeping"/>
    <x v="42"/>
    <s v="yes"/>
    <m/>
    <m/>
    <m/>
    <s v="yes"/>
    <m/>
    <x v="1"/>
    <x v="0"/>
    <x v="0"/>
    <b v="0"/>
    <s v="nil"/>
    <b v="1"/>
    <s v="not applied"/>
    <b v="1"/>
    <m/>
    <m/>
    <m/>
    <n v="3.0000000000000002E-2"/>
    <n v="0.1"/>
    <n v="0.2"/>
    <n v="0.3"/>
    <n v="1"/>
    <n v="0"/>
    <n v="0"/>
    <n v="18000"/>
    <n v="0"/>
    <n v="0"/>
    <n v="69750"/>
    <n v="0"/>
    <n v="69750"/>
    <n v="13950"/>
    <n v="0"/>
    <n v="0"/>
    <n v="69750"/>
    <n v="0"/>
    <n v="69750"/>
    <n v="0.15000000000000002"/>
    <n v="0.2"/>
    <n v="0.25"/>
    <b v="0"/>
    <b v="1"/>
    <n v="0"/>
    <n v="0"/>
    <n v="0"/>
    <x v="0"/>
    <x v="0"/>
  </r>
  <r>
    <s v="Improve housekeeping"/>
    <x v="43"/>
    <s v="yes"/>
    <m/>
    <m/>
    <m/>
    <s v="yes"/>
    <m/>
    <x v="1"/>
    <x v="0"/>
    <x v="0"/>
    <b v="0"/>
    <s v="nil"/>
    <b v="1"/>
    <s v="not applied"/>
    <b v="1"/>
    <m/>
    <m/>
    <m/>
    <n v="0.01"/>
    <n v="0.1"/>
    <n v="0.2"/>
    <n v="0.3"/>
    <n v="1"/>
    <n v="0"/>
    <n v="0"/>
    <n v="6000"/>
    <n v="0"/>
    <n v="0"/>
    <n v="23250"/>
    <n v="0"/>
    <n v="23250"/>
    <n v="4650"/>
    <n v="0"/>
    <n v="0"/>
    <n v="23250"/>
    <n v="0"/>
    <n v="23250"/>
    <n v="0.15000000000000002"/>
    <n v="0.2"/>
    <n v="0.25"/>
    <b v="0"/>
    <b v="1"/>
    <n v="0"/>
    <n v="0"/>
    <n v="0"/>
    <x v="0"/>
    <x v="0"/>
  </r>
  <r>
    <s v="Improve housekeeping"/>
    <x v="44"/>
    <s v="yes"/>
    <m/>
    <m/>
    <m/>
    <s v="yes"/>
    <m/>
    <x v="1"/>
    <x v="0"/>
    <x v="0"/>
    <b v="0"/>
    <s v="nil"/>
    <b v="1"/>
    <s v="not applied"/>
    <b v="1"/>
    <m/>
    <m/>
    <m/>
    <n v="1.0000000000000002E-2"/>
    <n v="0.1"/>
    <n v="0.2"/>
    <n v="0.3"/>
    <n v="1"/>
    <n v="0"/>
    <n v="0"/>
    <n v="6000.0000000000009"/>
    <n v="0"/>
    <n v="0"/>
    <n v="23250.000000000004"/>
    <n v="0"/>
    <n v="23250.000000000004"/>
    <n v="4650.0000000000009"/>
    <n v="0"/>
    <n v="0"/>
    <n v="23250.000000000004"/>
    <n v="0"/>
    <n v="23250.000000000004"/>
    <n v="0.15000000000000002"/>
    <n v="0.2"/>
    <n v="0.25"/>
    <b v="0"/>
    <b v="1"/>
    <n v="0"/>
    <n v="0"/>
    <n v="0"/>
    <x v="0"/>
    <x v="0"/>
  </r>
  <r>
    <s v="Improve housekeeping"/>
    <x v="45"/>
    <s v="yes"/>
    <m/>
    <m/>
    <m/>
    <s v="yes"/>
    <m/>
    <x v="1"/>
    <x v="0"/>
    <x v="0"/>
    <b v="0"/>
    <s v="nil"/>
    <b v="1"/>
    <s v="not applied"/>
    <b v="1"/>
    <m/>
    <m/>
    <m/>
    <n v="2.5000000000000001E-2"/>
    <n v="0.1"/>
    <n v="0.2"/>
    <n v="0.3"/>
    <n v="1"/>
    <n v="0"/>
    <n v="0"/>
    <n v="15000"/>
    <n v="0"/>
    <n v="0"/>
    <n v="58125"/>
    <n v="0"/>
    <n v="58125"/>
    <n v="11625"/>
    <n v="0"/>
    <n v="0"/>
    <n v="58125"/>
    <n v="0"/>
    <n v="58125"/>
    <n v="0.15000000000000002"/>
    <n v="0.2"/>
    <n v="0.25"/>
    <b v="0"/>
    <b v="1"/>
    <n v="0"/>
    <n v="0"/>
    <n v="0"/>
    <x v="0"/>
    <x v="0"/>
  </r>
  <r>
    <s v="Improve housekeeping"/>
    <x v="46"/>
    <s v="yes"/>
    <m/>
    <m/>
    <m/>
    <s v="yes"/>
    <m/>
    <x v="1"/>
    <x v="0"/>
    <x v="0"/>
    <b v="0"/>
    <s v="nil"/>
    <b v="1"/>
    <s v="not applied"/>
    <b v="1"/>
    <m/>
    <m/>
    <m/>
    <n v="3.5000000000000003E-2"/>
    <n v="0.5"/>
    <n v="1"/>
    <n v="1.5"/>
    <n v="1"/>
    <n v="0"/>
    <n v="0"/>
    <n v="21000.000000000004"/>
    <n v="0"/>
    <n v="0"/>
    <n v="81375.000000000015"/>
    <n v="0"/>
    <n v="81375.000000000015"/>
    <n v="81375.000000000015"/>
    <n v="0"/>
    <n v="0"/>
    <n v="81375.000000000015"/>
    <n v="0"/>
    <n v="81375.000000000015"/>
    <n v="0.75"/>
    <n v="1"/>
    <n v="1.25"/>
    <b v="0"/>
    <b v="1"/>
    <n v="0"/>
    <n v="0"/>
    <n v="0"/>
    <x v="0"/>
    <x v="0"/>
  </r>
  <r>
    <s v="Improve housekeeping"/>
    <x v="47"/>
    <s v="yes"/>
    <m/>
    <m/>
    <m/>
    <s v="yes"/>
    <m/>
    <x v="1"/>
    <x v="0"/>
    <x v="0"/>
    <b v="0"/>
    <s v="nil"/>
    <b v="1"/>
    <s v="not applied"/>
    <b v="1"/>
    <m/>
    <m/>
    <m/>
    <n v="1.2000000000000002E-2"/>
    <n v="0"/>
    <n v="0.25"/>
    <n v="0.5"/>
    <n v="1"/>
    <n v="0"/>
    <n v="0"/>
    <n v="7200.0000000000009"/>
    <n v="0"/>
    <n v="0"/>
    <n v="27900.000000000004"/>
    <n v="0"/>
    <n v="27900.000000000004"/>
    <n v="6975.0000000000009"/>
    <n v="0"/>
    <n v="0"/>
    <n v="27900.000000000004"/>
    <n v="0"/>
    <n v="27900.000000000004"/>
    <n v="0.1875"/>
    <n v="0.25"/>
    <n v="0.3125"/>
    <b v="0"/>
    <b v="1"/>
    <n v="0"/>
    <n v="0"/>
    <n v="0"/>
    <x v="0"/>
    <x v="0"/>
  </r>
  <r>
    <s v="Improve housekeeping"/>
    <x v="48"/>
    <s v="yes"/>
    <m/>
    <m/>
    <m/>
    <s v="yes"/>
    <m/>
    <x v="1"/>
    <x v="0"/>
    <x v="0"/>
    <b v="0"/>
    <s v="nil"/>
    <b v="1"/>
    <s v="not applied"/>
    <b v="1"/>
    <m/>
    <m/>
    <m/>
    <n v="5.0000000000000001E-3"/>
    <n v="0.25"/>
    <n v="0.5"/>
    <n v="1"/>
    <n v="1"/>
    <n v="0"/>
    <n v="0"/>
    <n v="3000"/>
    <n v="0"/>
    <n v="0"/>
    <n v="11625"/>
    <n v="0"/>
    <n v="11625"/>
    <n v="5812.5"/>
    <n v="0"/>
    <n v="0"/>
    <n v="11625"/>
    <n v="0"/>
    <n v="11625"/>
    <n v="0.375"/>
    <n v="0.5"/>
    <n v="0.625"/>
    <b v="0"/>
    <b v="1"/>
    <n v="0"/>
    <n v="0"/>
    <n v="0"/>
    <x v="0"/>
    <x v="0"/>
  </r>
  <r>
    <s v="Improve housekeeping"/>
    <x v="49"/>
    <s v="yes"/>
    <m/>
    <m/>
    <m/>
    <s v="yes"/>
    <m/>
    <x v="1"/>
    <x v="0"/>
    <x v="0"/>
    <b v="0"/>
    <s v="nil"/>
    <b v="1"/>
    <s v="not applied"/>
    <b v="1"/>
    <m/>
    <m/>
    <m/>
    <n v="6.000000000000001E-3"/>
    <n v="0.5"/>
    <n v="1"/>
    <n v="1.5"/>
    <n v="1"/>
    <n v="0"/>
    <n v="0"/>
    <n v="3600.0000000000005"/>
    <n v="0"/>
    <n v="0"/>
    <n v="13950.000000000002"/>
    <n v="0"/>
    <n v="13950.000000000002"/>
    <n v="13950.000000000002"/>
    <n v="0"/>
    <n v="0"/>
    <n v="13950.000000000002"/>
    <n v="0"/>
    <n v="13950.000000000002"/>
    <n v="0.75"/>
    <n v="1"/>
    <n v="1.25"/>
    <b v="0"/>
    <b v="1"/>
    <n v="0"/>
    <n v="0"/>
    <n v="0"/>
    <x v="0"/>
    <x v="0"/>
  </r>
  <r>
    <s v="Improve housekeeping"/>
    <x v="50"/>
    <m/>
    <s v="yes"/>
    <s v="yes"/>
    <m/>
    <s v="yes"/>
    <m/>
    <x v="2"/>
    <x v="2"/>
    <x v="0"/>
    <b v="0"/>
    <s v="nil"/>
    <b v="1"/>
    <s v="not applied"/>
    <b v="1"/>
    <n v="5.0000000000000001E-3"/>
    <n v="0.01"/>
    <n v="0"/>
    <n v="0.02"/>
    <n v="0.5"/>
    <n v="1.25"/>
    <n v="2"/>
    <n v="1"/>
    <n v="975"/>
    <n v="0"/>
    <n v="12000"/>
    <n v="1240"/>
    <n v="0"/>
    <n v="46500"/>
    <n v="0"/>
    <n v="47740"/>
    <n v="59675"/>
    <n v="1240"/>
    <n v="0"/>
    <n v="46500"/>
    <n v="0"/>
    <n v="47740"/>
    <n v="0.9375"/>
    <n v="1.25"/>
    <n v="1.5625"/>
    <b v="0"/>
    <b v="1"/>
    <n v="50.241750000000003"/>
    <n v="0"/>
    <n v="50.241750000000003"/>
    <x v="0"/>
    <x v="2"/>
  </r>
  <r>
    <s v="Improve housekeeping"/>
    <x v="51"/>
    <m/>
    <s v="yes"/>
    <s v="yes"/>
    <m/>
    <s v="yes"/>
    <m/>
    <x v="2"/>
    <x v="2"/>
    <x v="0"/>
    <b v="0"/>
    <s v="nil"/>
    <b v="1"/>
    <s v="not applied"/>
    <b v="1"/>
    <n v="5.0000000000000001E-3"/>
    <n v="0.01"/>
    <n v="0"/>
    <m/>
    <n v="0.5"/>
    <n v="1"/>
    <n v="1.5"/>
    <n v="1"/>
    <n v="975"/>
    <n v="0"/>
    <n v="0"/>
    <n v="1240"/>
    <n v="0"/>
    <n v="0"/>
    <n v="0"/>
    <n v="1240"/>
    <n v="1240"/>
    <n v="1240"/>
    <n v="0"/>
    <n v="0"/>
    <n v="0"/>
    <n v="1240"/>
    <n v="0.75"/>
    <n v="1"/>
    <n v="1.25"/>
    <b v="0"/>
    <b v="1"/>
    <n v="50.241750000000003"/>
    <n v="0"/>
    <n v="50.241750000000003"/>
    <x v="0"/>
    <x v="0"/>
  </r>
  <r>
    <s v="Improve housekeeping"/>
    <x v="52"/>
    <m/>
    <s v="yes"/>
    <s v="yes"/>
    <m/>
    <s v="yes"/>
    <m/>
    <x v="2"/>
    <x v="2"/>
    <x v="0"/>
    <b v="0"/>
    <s v="nil"/>
    <b v="1"/>
    <s v="not applied"/>
    <b v="1"/>
    <n v="5.0000000000000001E-3"/>
    <n v="0.01"/>
    <n v="0"/>
    <m/>
    <n v="0"/>
    <n v="0.1"/>
    <n v="0.2"/>
    <n v="1"/>
    <n v="975"/>
    <n v="0"/>
    <n v="0"/>
    <n v="1240"/>
    <n v="0"/>
    <n v="0"/>
    <n v="0"/>
    <n v="1240"/>
    <n v="124"/>
    <n v="1240"/>
    <n v="0"/>
    <n v="0"/>
    <n v="0"/>
    <n v="1240"/>
    <n v="7.5000000000000011E-2"/>
    <n v="0.1"/>
    <n v="0.125"/>
    <b v="0"/>
    <b v="1"/>
    <n v="50.241750000000003"/>
    <n v="0"/>
    <n v="50.241750000000003"/>
    <x v="0"/>
    <x v="0"/>
  </r>
  <r>
    <s v="Improve housekeeping"/>
    <x v="53"/>
    <s v="yes"/>
    <s v="yes"/>
    <s v="yes"/>
    <s v="yes"/>
    <s v="yes"/>
    <m/>
    <x v="1"/>
    <x v="2"/>
    <x v="1"/>
    <b v="0"/>
    <s v="nil"/>
    <b v="1"/>
    <s v="not applied"/>
    <b v="1"/>
    <n v="0.02"/>
    <n v="0.02"/>
    <n v="0.01"/>
    <m/>
    <n v="0.25"/>
    <n v="0.5"/>
    <n v="0.75"/>
    <n v="1"/>
    <n v="3900"/>
    <n v="140000"/>
    <n v="0"/>
    <n v="4960"/>
    <n v="21500"/>
    <n v="0"/>
    <n v="0"/>
    <n v="26460"/>
    <n v="13230"/>
    <n v="4960"/>
    <n v="21500"/>
    <n v="0"/>
    <n v="0"/>
    <n v="26460"/>
    <n v="0.375"/>
    <n v="0.5"/>
    <n v="0.625"/>
    <b v="0"/>
    <b v="1"/>
    <n v="200.96700000000001"/>
    <n v="137.20000000000002"/>
    <n v="338.16700000000003"/>
    <x v="0"/>
    <x v="0"/>
  </r>
  <r>
    <s v="Improve housekeeping"/>
    <x v="54"/>
    <m/>
    <m/>
    <m/>
    <s v="yes"/>
    <s v="yes"/>
    <m/>
    <x v="2"/>
    <x v="0"/>
    <x v="1"/>
    <b v="0"/>
    <s v="nil"/>
    <b v="1"/>
    <s v="not applied"/>
    <b v="1"/>
    <n v="0"/>
    <n v="0"/>
    <n v="5.0000000000000001E-3"/>
    <m/>
    <n v="1"/>
    <n v="2"/>
    <n v="3"/>
    <n v="1"/>
    <n v="0"/>
    <n v="70000"/>
    <n v="0"/>
    <n v="0"/>
    <n v="10750"/>
    <n v="0"/>
    <n v="0"/>
    <n v="10750"/>
    <n v="21500"/>
    <n v="0"/>
    <n v="10750"/>
    <n v="0"/>
    <n v="0"/>
    <n v="10750"/>
    <n v="1.5"/>
    <n v="2"/>
    <n v="2.5"/>
    <b v="0"/>
    <b v="1"/>
    <n v="0"/>
    <n v="68.600000000000009"/>
    <n v="68.600000000000009"/>
    <x v="0"/>
    <x v="2"/>
  </r>
  <r>
    <s v="Improve housekeeping"/>
    <x v="55"/>
    <m/>
    <m/>
    <m/>
    <s v="yes"/>
    <s v="yes"/>
    <m/>
    <x v="2"/>
    <x v="0"/>
    <x v="1"/>
    <b v="0"/>
    <s v="nil"/>
    <b v="1"/>
    <s v="not applied"/>
    <b v="1"/>
    <n v="2.9060381013884403E-3"/>
    <n v="2.9060381013884403E-3"/>
    <n v="5.0000000000000001E-3"/>
    <m/>
    <n v="0.5"/>
    <n v="1"/>
    <n v="1.5"/>
    <n v="1"/>
    <n v="566.67742977074579"/>
    <n v="70000"/>
    <n v="0"/>
    <n v="720.69744914433306"/>
    <n v="10750"/>
    <n v="0"/>
    <n v="0"/>
    <n v="11470.697449144332"/>
    <n v="11470.697449144332"/>
    <n v="720.69744914433306"/>
    <n v="10750"/>
    <n v="0"/>
    <n v="0"/>
    <n v="11470.697449144332"/>
    <n v="0.75"/>
    <n v="1"/>
    <n v="1.25"/>
    <b v="0"/>
    <b v="1"/>
    <n v="29.200887956086532"/>
    <n v="68.600000000000009"/>
    <n v="97.800887956086541"/>
    <x v="0"/>
    <x v="0"/>
  </r>
  <r>
    <s v="Improve housekeeping"/>
    <x v="56"/>
    <m/>
    <m/>
    <m/>
    <s v="yes"/>
    <s v="yes"/>
    <m/>
    <x v="2"/>
    <x v="0"/>
    <x v="1"/>
    <b v="0"/>
    <s v="nil"/>
    <b v="1"/>
    <s v="not applied"/>
    <b v="1"/>
    <n v="0"/>
    <n v="0"/>
    <n v="5.0000000000000001E-3"/>
    <m/>
    <n v="0"/>
    <n v="0.1"/>
    <n v="0.2"/>
    <n v="1"/>
    <n v="0"/>
    <n v="70000"/>
    <n v="0"/>
    <n v="0"/>
    <n v="10750"/>
    <n v="0"/>
    <n v="0"/>
    <n v="10750"/>
    <n v="1075"/>
    <n v="0"/>
    <n v="10750"/>
    <n v="0"/>
    <n v="0"/>
    <n v="10750"/>
    <n v="7.5000000000000011E-2"/>
    <n v="0.1"/>
    <n v="0.125"/>
    <b v="0"/>
    <b v="1"/>
    <n v="0"/>
    <n v="68.600000000000009"/>
    <n v="68.600000000000009"/>
    <x v="0"/>
    <x v="2"/>
  </r>
  <r>
    <s v="Improve housekeeping"/>
    <x v="57"/>
    <s v="yes"/>
    <m/>
    <m/>
    <m/>
    <s v="yes"/>
    <m/>
    <x v="1"/>
    <x v="0"/>
    <x v="0"/>
    <b v="0"/>
    <s v="nil"/>
    <b v="1"/>
    <s v="not applied"/>
    <b v="1"/>
    <m/>
    <m/>
    <m/>
    <n v="1.2000000000000002E-2"/>
    <n v="0.5"/>
    <n v="1"/>
    <n v="1.5"/>
    <n v="1"/>
    <n v="0"/>
    <n v="0"/>
    <n v="7200.0000000000009"/>
    <n v="0"/>
    <n v="0"/>
    <n v="27900.000000000004"/>
    <n v="0"/>
    <n v="27900.000000000004"/>
    <n v="27900.000000000004"/>
    <n v="0"/>
    <n v="0"/>
    <n v="27900.000000000004"/>
    <n v="0"/>
    <n v="27900.000000000004"/>
    <n v="0.75"/>
    <n v="1"/>
    <n v="1.25"/>
    <b v="0"/>
    <b v="1"/>
    <n v="0"/>
    <n v="0"/>
    <n v="0"/>
    <x v="0"/>
    <x v="0"/>
  </r>
  <r>
    <s v="Assess renewables"/>
    <x v="58"/>
    <s v="yes"/>
    <s v="yes"/>
    <s v="yes"/>
    <m/>
    <s v="yes"/>
    <m/>
    <x v="1"/>
    <x v="2"/>
    <x v="0"/>
    <b v="0"/>
    <s v="nil"/>
    <b v="1"/>
    <s v="not applied"/>
    <b v="1"/>
    <n v="0.15"/>
    <n v="0.1"/>
    <n v="0"/>
    <m/>
    <n v="3.75"/>
    <n v="5"/>
    <n v="6.25"/>
    <n v="1"/>
    <n v="29250"/>
    <n v="0"/>
    <n v="0"/>
    <n v="37200"/>
    <n v="0"/>
    <n v="0"/>
    <n v="0"/>
    <n v="37200"/>
    <n v="186000"/>
    <n v="37200"/>
    <n v="0"/>
    <n v="0"/>
    <n v="0"/>
    <n v="37200"/>
    <n v="3.75"/>
    <n v="5"/>
    <n v="6.25"/>
    <b v="0"/>
    <b v="0"/>
    <n v="1507.2525000000001"/>
    <n v="0"/>
    <n v="1507.2525000000001"/>
    <x v="0"/>
    <x v="9"/>
  </r>
  <r>
    <s v="Assess renewables"/>
    <x v="59"/>
    <m/>
    <s v="yes"/>
    <s v="yes"/>
    <m/>
    <s v="yes"/>
    <m/>
    <x v="2"/>
    <x v="2"/>
    <x v="0"/>
    <b v="0"/>
    <s v="nil"/>
    <b v="1"/>
    <s v="not applied"/>
    <b v="1"/>
    <n v="1"/>
    <n v="1"/>
    <n v="0"/>
    <m/>
    <n v="3"/>
    <n v="5"/>
    <n v="7"/>
    <n v="1"/>
    <n v="195000"/>
    <n v="0"/>
    <n v="0"/>
    <n v="247999.99999999997"/>
    <n v="0"/>
    <n v="0"/>
    <n v="0"/>
    <n v="247999.99999999997"/>
    <n v="1239999.9999999998"/>
    <n v="247999.99999999997"/>
    <n v="0"/>
    <n v="0"/>
    <n v="0"/>
    <n v="247999.99999999997"/>
    <n v="3.75"/>
    <n v="5"/>
    <n v="6.25"/>
    <b v="0"/>
    <b v="0"/>
    <n v="10048.35"/>
    <n v="0"/>
    <n v="10048.35"/>
    <x v="0"/>
    <x v="10"/>
  </r>
  <r>
    <s v="Assess renewables"/>
    <x v="60"/>
    <m/>
    <s v="yes"/>
    <s v="yes"/>
    <s v="yes"/>
    <s v="yes"/>
    <m/>
    <x v="2"/>
    <x v="2"/>
    <x v="2"/>
    <b v="1"/>
    <s v="nil"/>
    <b v="1"/>
    <s v="not applied"/>
    <b v="1"/>
    <n v="0.3"/>
    <n v="0.5"/>
    <n v="1"/>
    <m/>
    <n v="4"/>
    <n v="5"/>
    <n v="6"/>
    <n v="1"/>
    <n v="58500"/>
    <n v="14000000"/>
    <n v="0"/>
    <n v="74400"/>
    <n v="2150000"/>
    <n v="0"/>
    <n v="0"/>
    <n v="2224400"/>
    <n v="11122000"/>
    <n v="74400"/>
    <n v="2150000"/>
    <n v="0"/>
    <n v="0"/>
    <n v="2224400"/>
    <n v="3.75"/>
    <n v="5"/>
    <n v="6.25"/>
    <b v="0"/>
    <b v="0"/>
    <n v="3014.5050000000001"/>
    <n v="13720"/>
    <n v="16734.505000000001"/>
    <x v="0"/>
    <x v="11"/>
  </r>
  <r>
    <s v="Assess renewables"/>
    <x v="61"/>
    <m/>
    <m/>
    <m/>
    <s v="yes"/>
    <s v="yes"/>
    <m/>
    <x v="2"/>
    <x v="0"/>
    <x v="2"/>
    <b v="1"/>
    <s v="nil"/>
    <b v="1"/>
    <s v="not applied"/>
    <b v="1"/>
    <n v="0"/>
    <n v="0"/>
    <n v="0.05"/>
    <m/>
    <n v="3"/>
    <n v="4"/>
    <n v="6"/>
    <n v="1"/>
    <n v="0"/>
    <n v="700000"/>
    <n v="0"/>
    <n v="0"/>
    <n v="107500"/>
    <n v="0"/>
    <n v="0"/>
    <n v="107500"/>
    <n v="430000"/>
    <n v="0"/>
    <n v="107500"/>
    <n v="0"/>
    <n v="0"/>
    <n v="107500"/>
    <n v="3"/>
    <n v="4"/>
    <n v="5"/>
    <b v="0"/>
    <b v="0"/>
    <n v="0"/>
    <n v="686"/>
    <n v="686"/>
    <x v="0"/>
    <x v="12"/>
  </r>
  <r>
    <s v="Assess renewables"/>
    <x v="62"/>
    <m/>
    <m/>
    <m/>
    <s v="yes"/>
    <s v="yes"/>
    <m/>
    <x v="2"/>
    <x v="0"/>
    <x v="2"/>
    <b v="1"/>
    <s v="nil"/>
    <b v="1"/>
    <s v="not applied"/>
    <b v="1"/>
    <n v="0"/>
    <n v="0"/>
    <n v="0.2"/>
    <m/>
    <n v="3"/>
    <n v="4"/>
    <n v="5"/>
    <n v="1"/>
    <n v="0"/>
    <n v="2800000"/>
    <n v="0"/>
    <n v="0"/>
    <n v="430000"/>
    <n v="0"/>
    <n v="0"/>
    <n v="430000"/>
    <n v="1720000"/>
    <n v="0"/>
    <n v="430000"/>
    <n v="0"/>
    <n v="0"/>
    <n v="430000"/>
    <n v="3"/>
    <n v="4"/>
    <n v="5"/>
    <b v="0"/>
    <b v="0"/>
    <n v="0"/>
    <n v="2744"/>
    <n v="2744"/>
    <x v="0"/>
    <x v="13"/>
  </r>
  <r>
    <s v="Assess renewables"/>
    <x v="63"/>
    <m/>
    <m/>
    <m/>
    <s v="yes"/>
    <s v="yes"/>
    <m/>
    <x v="2"/>
    <x v="0"/>
    <x v="2"/>
    <b v="1"/>
    <s v="nil"/>
    <b v="1"/>
    <s v="not applied"/>
    <b v="1"/>
    <n v="0"/>
    <n v="0"/>
    <n v="0.3"/>
    <m/>
    <n v="4"/>
    <n v="5"/>
    <n v="6"/>
    <n v="1"/>
    <n v="0"/>
    <n v="4200000"/>
    <n v="0"/>
    <n v="0"/>
    <n v="645000"/>
    <n v="0"/>
    <n v="0"/>
    <n v="645000"/>
    <n v="3225000"/>
    <n v="0"/>
    <n v="645000"/>
    <n v="0"/>
    <n v="0"/>
    <n v="645000"/>
    <n v="3.75"/>
    <n v="5"/>
    <n v="6.25"/>
    <b v="0"/>
    <b v="0"/>
    <n v="0"/>
    <n v="4116"/>
    <n v="4116"/>
    <x v="0"/>
    <x v="13"/>
  </r>
  <r>
    <s v="Assess cogeneration"/>
    <x v="64"/>
    <m/>
    <s v="yes"/>
    <s v="yes"/>
    <s v="yes"/>
    <s v="yes"/>
    <m/>
    <x v="2"/>
    <x v="2"/>
    <x v="2"/>
    <b v="1"/>
    <s v="nil"/>
    <b v="1"/>
    <s v="not applied"/>
    <b v="1"/>
    <n v="-0.5"/>
    <n v="-0.3"/>
    <n v="0.75"/>
    <m/>
    <n v="4"/>
    <n v="6"/>
    <n v="8"/>
    <n v="1"/>
    <n v="-97500"/>
    <n v="10500000"/>
    <n v="0"/>
    <n v="-123999.99999999999"/>
    <n v="1612500"/>
    <n v="0"/>
    <n v="0"/>
    <n v="1488500"/>
    <n v="8931000"/>
    <n v="-123999.99999999999"/>
    <n v="1612500"/>
    <n v="0"/>
    <n v="0"/>
    <n v="1488500"/>
    <n v="4.5"/>
    <n v="6"/>
    <n v="7.5"/>
    <b v="0"/>
    <b v="0"/>
    <n v="-5024.1750000000002"/>
    <n v="10290"/>
    <n v="5265.8249999999998"/>
    <x v="0"/>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 applyNumberFormats="0" applyBorderFormats="0" applyFontFormats="0" applyPatternFormats="0" applyAlignmentFormats="0" applyWidthHeightFormats="1" dataCaption="Values" updatedVersion="7" minRefreshableVersion="3" rowGrandTotals="0" colGrandTotals="0" itemPrintTitles="1" createdVersion="4" indent="0" compact="0" compactData="0" multipleFieldFilters="0">
  <location ref="A74:L79" firstHeaderRow="0" firstDataRow="1" firstDataCol="2" rowPageCount="2" colPageCount="1"/>
  <pivotFields count="48">
    <pivotField compact="0" outline="0" showAll="0" defaultSubtotal="0"/>
    <pivotField axis="axisRow" compact="0" outline="0" showAll="0" defaultSubtotal="0">
      <items count="172">
        <item m="1" x="143"/>
        <item m="1" x="65"/>
        <item m="1" x="95"/>
        <item m="1" x="81"/>
        <item m="1" x="146"/>
        <item m="1" x="145"/>
        <item m="1" x="101"/>
        <item m="1" x="122"/>
        <item m="1" x="133"/>
        <item m="1" x="77"/>
        <item m="1" x="124"/>
        <item x="4"/>
        <item m="1" x="120"/>
        <item m="1" x="88"/>
        <item m="1" x="149"/>
        <item m="1" x="151"/>
        <item m="1" x="144"/>
        <item m="1" x="67"/>
        <item m="1" x="140"/>
        <item x="14"/>
        <item m="1" x="164"/>
        <item m="1" x="161"/>
        <item m="1" x="118"/>
        <item m="1" x="137"/>
        <item m="1" x="154"/>
        <item m="1" x="129"/>
        <item m="1" x="127"/>
        <item m="1" x="156"/>
        <item x="24"/>
        <item m="1" x="125"/>
        <item m="1" x="153"/>
        <item m="1" x="109"/>
        <item x="27"/>
        <item m="1" x="138"/>
        <item x="29"/>
        <item x="30"/>
        <item x="32"/>
        <item m="1" x="128"/>
        <item m="1" x="167"/>
        <item x="38"/>
        <item m="1" x="83"/>
        <item m="1" x="71"/>
        <item m="1" x="70"/>
        <item m="1" x="92"/>
        <item m="1" x="98"/>
        <item m="1" x="121"/>
        <item m="1" x="113"/>
        <item m="1" x="135"/>
        <item m="1" x="147"/>
        <item x="48"/>
        <item x="49"/>
        <item m="1" x="119"/>
        <item m="1" x="75"/>
        <item m="1" x="107"/>
        <item m="1" x="157"/>
        <item m="1" x="116"/>
        <item m="1" x="72"/>
        <item m="1" x="85"/>
        <item m="1" x="93"/>
        <item m="1" x="139"/>
        <item m="1" x="94"/>
        <item m="1" x="97"/>
        <item x="62"/>
        <item m="1" x="150"/>
        <item m="1" x="105"/>
        <item m="1" x="115"/>
        <item m="1" x="134"/>
        <item m="1" x="78"/>
        <item m="1" x="74"/>
        <item m="1" x="142"/>
        <item m="1" x="90"/>
        <item x="19"/>
        <item x="20"/>
        <item m="1" x="114"/>
        <item x="23"/>
        <item m="1" x="84"/>
        <item x="26"/>
        <item x="36"/>
        <item x="37"/>
        <item x="21"/>
        <item m="1" x="160"/>
        <item m="1" x="99"/>
        <item m="1" x="141"/>
        <item x="58"/>
        <item m="1" x="132"/>
        <item m="1" x="68"/>
        <item x="22"/>
        <item m="1" x="155"/>
        <item x="25"/>
        <item m="1" x="159"/>
        <item m="1" x="91"/>
        <item m="1" x="162"/>
        <item x="43"/>
        <item x="47"/>
        <item m="1" x="102"/>
        <item x="53"/>
        <item m="1" x="111"/>
        <item m="1" x="86"/>
        <item m="1" x="96"/>
        <item m="1" x="103"/>
        <item x="60"/>
        <item x="63"/>
        <item x="64"/>
        <item m="1" x="117"/>
        <item x="59"/>
        <item m="1" x="108"/>
        <item m="1" x="136"/>
        <item m="1" x="123"/>
        <item m="1" x="169"/>
        <item m="1" x="73"/>
        <item m="1" x="165"/>
        <item m="1" x="89"/>
        <item m="1" x="106"/>
        <item m="1" x="110"/>
        <item m="1" x="76"/>
        <item m="1" x="170"/>
        <item m="1" x="130"/>
        <item m="1" x="126"/>
        <item m="1" x="104"/>
        <item m="1" x="82"/>
        <item m="1" x="152"/>
        <item m="1" x="158"/>
        <item m="1" x="163"/>
        <item m="1" x="166"/>
        <item m="1" x="87"/>
        <item m="1" x="112"/>
        <item m="1" x="171"/>
        <item m="1" x="69"/>
        <item m="1" x="66"/>
        <item m="1" x="148"/>
        <item m="1" x="79"/>
        <item x="40"/>
        <item m="1" x="80"/>
        <item m="1" x="131"/>
        <item m="1" x="168"/>
        <item m="1" x="100"/>
        <item x="39"/>
        <item x="56"/>
        <item x="31"/>
        <item x="34"/>
        <item x="61"/>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Page" compact="0" outline="0" multipleItemSelectionAllowed="1" showAll="0" defaultSubtotal="0">
      <items count="5">
        <item h="1" x="0"/>
        <item h="1" x="2"/>
        <item x="1"/>
        <item h="1" m="1" x="3"/>
        <item h="1" m="1" x="4"/>
      </items>
    </pivotField>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dataField="1" compact="0" numFmtId="172" outline="0" showAll="0" defaultSubtotal="0"/>
    <pivotField dataField="1" compact="0" numFmtId="172" outline="0" showAll="0" defaultSubtotal="0"/>
    <pivotField dataField="1" compact="0" numFmtId="172" outline="0" showAll="0" defaultSubtotal="0"/>
    <pivotField dataField="1" compact="0" numFmtId="172" outline="0" showAll="0" defaultSubtotal="0"/>
    <pivotField compact="0" numFmtId="172" outline="0" showAll="0" defaultSubtotal="0"/>
    <pivotField dataField="1" compact="0" numFmtId="172" outline="0" showAll="0" defaultSubtotal="0"/>
    <pivotField dataField="1" compact="0" numFmtId="164" outline="0" showAll="0" defaultSubtotal="0"/>
    <pivotField compact="0" numFmtId="164" outline="0" showAll="0" defaultSubtotal="0"/>
    <pivotField dataField="1" compact="0" numFmtId="164" outline="0" showAll="0" defaultSubtotal="0"/>
    <pivotField compact="0" outline="0" showAll="0" defaultSubtotal="0"/>
    <pivotField compact="0" outline="0" showAll="0" defaultSubtotal="0"/>
    <pivotField dataField="1" compact="0" numFmtId="3" outline="0" showAll="0"/>
    <pivotField dataField="1" compact="0" numFmtId="3" outline="0" showAll="0"/>
    <pivotField dataField="1" compact="0" numFmtId="3" outline="0" showAll="0"/>
    <pivotField axis="axisPage" compact="0" outline="0" multipleItemSelectionAllowed="1" showAll="0" defaultSubtotal="0">
      <items count="2">
        <item h="1" x="0"/>
        <item x="1"/>
      </items>
    </pivotField>
    <pivotField axis="axisRow" compact="0" outline="0" showAll="0" defaultSubtotal="0">
      <items count="39">
        <item x="2"/>
        <item x="6"/>
        <item m="1" x="36"/>
        <item m="1" x="18"/>
        <item m="1" x="32"/>
        <item m="1" x="35"/>
        <item m="1" x="30"/>
        <item m="1" x="17"/>
        <item m="1" x="37"/>
        <item m="1" x="21"/>
        <item m="1" x="25"/>
        <item m="1" x="16"/>
        <item m="1" x="24"/>
        <item m="1" x="23"/>
        <item m="1" x="28"/>
        <item m="1" x="29"/>
        <item m="1" x="20"/>
        <item m="1" x="15"/>
        <item m="1" x="34"/>
        <item m="1" x="38"/>
        <item m="1" x="31"/>
        <item m="1" x="19"/>
        <item x="0"/>
        <item m="1" x="26"/>
        <item m="1" x="22"/>
        <item m="1" x="33"/>
        <item m="1" x="27"/>
        <item x="7"/>
        <item x="8"/>
        <item x="9"/>
        <item x="10"/>
        <item x="11"/>
        <item x="13"/>
        <item x="14"/>
        <item x="1"/>
        <item x="3"/>
        <item x="4"/>
        <item x="5"/>
        <item x="12"/>
      </items>
    </pivotField>
  </pivotFields>
  <rowFields count="2">
    <field x="1"/>
    <field x="47"/>
  </rowFields>
  <rowItems count="5">
    <i>
      <x v="28"/>
      <x/>
    </i>
    <i>
      <x v="71"/>
      <x/>
    </i>
    <i>
      <x v="74"/>
      <x/>
    </i>
    <i>
      <x v="77"/>
      <x v="27"/>
    </i>
    <i>
      <x v="136"/>
      <x/>
    </i>
  </rowItems>
  <colFields count="1">
    <field x="-2"/>
  </colFields>
  <colItems count="10">
    <i>
      <x/>
    </i>
    <i i="1">
      <x v="1"/>
    </i>
    <i i="2">
      <x v="2"/>
    </i>
    <i i="3">
      <x v="3"/>
    </i>
    <i i="4">
      <x v="4"/>
    </i>
    <i i="5">
      <x v="5"/>
    </i>
    <i i="6">
      <x v="6"/>
    </i>
    <i i="7">
      <x v="7"/>
    </i>
    <i i="8">
      <x v="8"/>
    </i>
    <i i="9">
      <x v="9"/>
    </i>
  </colItems>
  <pageFields count="2">
    <pageField fld="46" hier="-1"/>
    <pageField fld="9" hier="-1"/>
  </pageFields>
  <dataFields count="10">
    <dataField name="Sum of back-calculated actual saving ($ / yr)-Total" fld="37" baseField="0" baseItem="0"/>
    <dataField name="Sum of back-calculated actual saving ($ / yr)-thermal" fld="33" baseField="0" baseItem="0"/>
    <dataField name="Sum of back-calculated actual saving ($ / yr)-elec" fld="34" baseField="0" baseItem="0"/>
    <dataField name="Sum of back-calculated actual saving ($ / yr)-water" fld="35" baseField="0" baseItem="0"/>
    <dataField name="Sum of back-calculated adjusted CAPEX" fld="32" baseField="0" baseItem="0"/>
    <dataField name="Min of adjusted payback (years)-lower" fld="38" subtotal="min" baseField="0" baseItem="0"/>
    <dataField name="Max of adjusted payback (years)-upper" fld="40" subtotal="max" baseField="0" baseItem="0"/>
    <dataField name="Sum of Scope 1 saving" fld="43" baseField="0" baseItem="0"/>
    <dataField name="Sum of Scope 2 saving" fld="44" baseField="0" baseItem="0"/>
    <dataField name="Sum of Total emissions saving" fld="45" baseField="0" baseItem="0"/>
  </dataFields>
  <formats count="2">
    <format dxfId="1">
      <pivotArea field="1" type="button" dataOnly="0" labelOnly="1" outline="0" axis="axisRow" fieldPosition="0"/>
    </format>
    <format dxfId="0">
      <pivotArea dataOnly="0" labelOnly="1" outline="0" fieldPosition="0">
        <references count="1">
          <reference field="4294967294" count="2">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5000000}" name="PivotTable6" cacheId="0" applyNumberFormats="0" applyBorderFormats="0" applyFontFormats="0" applyPatternFormats="0" applyAlignmentFormats="0" applyWidthHeightFormats="1" dataCaption="Values" updatedVersion="7" minRefreshableVersion="3" useAutoFormatting="1" rowGrandTotals="0" colGrandTotals="0" itemPrintTitles="1" createdVersion="4" indent="0" compact="0" compactData="0" multipleFieldFilters="0">
  <location ref="G164:G165" firstHeaderRow="1" firstDataRow="1" firstDataCol="0" rowPageCount="2" colPageCount="1"/>
  <pivotFields count="48">
    <pivotField compact="0" outline="0" showAll="0" defaultSubtotal="0"/>
    <pivotField dataField="1" compact="0" outline="0" showAll="0" defaultSubtotal="0">
      <items count="251">
        <item m="1" x="201"/>
        <item m="1" x="99"/>
        <item m="1" x="244"/>
        <item m="1" x="156"/>
        <item m="1" x="78"/>
        <item m="1" x="224"/>
        <item m="1" x="139"/>
        <item m="1" x="179"/>
        <item m="1" x="229"/>
        <item m="1" x="97"/>
        <item m="1" x="198"/>
        <item m="1" x="222"/>
        <item m="1" x="140"/>
        <item m="1" x="70"/>
        <item m="1" x="117"/>
        <item m="1" x="192"/>
        <item m="1" x="169"/>
        <item m="1" x="123"/>
        <item m="1" x="115"/>
        <item m="1" x="250"/>
        <item m="1" x="94"/>
        <item m="1" x="205"/>
        <item m="1" x="100"/>
        <item m="1" x="116"/>
        <item m="1" x="146"/>
        <item m="1" x="172"/>
        <item m="1" x="87"/>
        <item m="1" x="147"/>
        <item m="1" x="152"/>
        <item m="1" x="103"/>
        <item m="1" x="237"/>
        <item m="1" x="191"/>
        <item m="1" x="234"/>
        <item m="1" x="93"/>
        <item m="1" x="204"/>
        <item m="1" x="248"/>
        <item m="1" x="143"/>
        <item m="1" x="126"/>
        <item m="1" x="206"/>
        <item m="1" x="145"/>
        <item m="1" x="203"/>
        <item m="1" x="247"/>
        <item m="1" x="239"/>
        <item m="1" x="107"/>
        <item m="1" x="133"/>
        <item m="1" x="82"/>
        <item m="1" x="225"/>
        <item m="1" x="162"/>
        <item m="1" x="160"/>
        <item m="1" x="128"/>
        <item m="1" x="125"/>
        <item m="1" x="181"/>
        <item m="1" x="238"/>
        <item m="1" x="207"/>
        <item m="1" x="161"/>
        <item m="1" x="170"/>
        <item m="1" x="217"/>
        <item m="1" x="86"/>
        <item m="1" x="134"/>
        <item m="1" x="90"/>
        <item m="1" x="200"/>
        <item m="1" x="168"/>
        <item m="1" x="167"/>
        <item m="1" x="101"/>
        <item m="1" x="71"/>
        <item m="1" x="185"/>
        <item m="1" x="228"/>
        <item m="1" x="129"/>
        <item m="1" x="77"/>
        <item m="1" x="136"/>
        <item m="1" x="183"/>
        <item m="1" x="159"/>
        <item m="1" x="130"/>
        <item m="1" x="210"/>
        <item m="1" x="98"/>
        <item m="1" x="240"/>
        <item m="1" x="230"/>
        <item m="1" x="118"/>
        <item m="1" x="165"/>
        <item x="69"/>
        <item m="1" x="180"/>
        <item m="1" x="187"/>
        <item m="1" x="88"/>
        <item m="1" x="173"/>
        <item x="4"/>
        <item m="1" x="164"/>
        <item m="1" x="108"/>
        <item m="1" x="211"/>
        <item m="1" x="213"/>
        <item m="1" x="202"/>
        <item m="1" x="73"/>
        <item m="1" x="196"/>
        <item x="14"/>
        <item m="1" x="235"/>
        <item m="1" x="227"/>
        <item m="1" x="158"/>
        <item m="1" x="193"/>
        <item m="1" x="216"/>
        <item m="1" x="178"/>
        <item m="1" x="176"/>
        <item m="1" x="219"/>
        <item x="24"/>
        <item m="1" x="174"/>
        <item m="1" x="215"/>
        <item m="1" x="144"/>
        <item x="27"/>
        <item m="1" x="194"/>
        <item x="29"/>
        <item x="30"/>
        <item x="32"/>
        <item m="1" x="177"/>
        <item m="1" x="242"/>
        <item x="38"/>
        <item m="1" x="96"/>
        <item m="1" x="79"/>
        <item m="1" x="76"/>
        <item m="1" x="112"/>
        <item m="1" x="121"/>
        <item m="1" x="166"/>
        <item m="1" x="151"/>
        <item m="1" x="189"/>
        <item m="1" x="208"/>
        <item x="48"/>
        <item x="49"/>
        <item m="1" x="163"/>
        <item m="1" x="84"/>
        <item m="1" x="141"/>
        <item m="1" x="220"/>
        <item m="1" x="155"/>
        <item m="1" x="80"/>
        <item m="1" x="104"/>
        <item m="1" x="113"/>
        <item m="1" x="195"/>
        <item m="1" x="114"/>
        <item m="1" x="120"/>
        <item x="62"/>
        <item m="1" x="212"/>
        <item m="1" x="137"/>
        <item m="1" x="154"/>
        <item m="1" x="188"/>
        <item m="1" x="89"/>
        <item m="1" x="83"/>
        <item m="1" x="199"/>
        <item m="1" x="110"/>
        <item x="19"/>
        <item x="20"/>
        <item m="1" x="153"/>
        <item x="23"/>
        <item m="1" x="102"/>
        <item x="26"/>
        <item x="36"/>
        <item x="37"/>
        <item x="21"/>
        <item m="1" x="226"/>
        <item m="1" x="122"/>
        <item m="1" x="197"/>
        <item x="58"/>
        <item m="1" x="186"/>
        <item m="1" x="233"/>
        <item m="1" x="74"/>
        <item x="22"/>
        <item m="1" x="218"/>
        <item x="25"/>
        <item m="1" x="223"/>
        <item m="1" x="111"/>
        <item m="1" x="231"/>
        <item x="43"/>
        <item x="47"/>
        <item m="1" x="131"/>
        <item x="53"/>
        <item m="1" x="149"/>
        <item m="1" x="105"/>
        <item m="1" x="119"/>
        <item m="1" x="132"/>
        <item x="60"/>
        <item x="63"/>
        <item x="64"/>
        <item m="1" x="157"/>
        <item x="59"/>
        <item x="65"/>
        <item m="1" x="124"/>
        <item x="66"/>
        <item m="1" x="142"/>
        <item m="1" x="190"/>
        <item m="1" x="171"/>
        <item m="1" x="245"/>
        <item m="1" x="81"/>
        <item m="1" x="236"/>
        <item m="1" x="109"/>
        <item m="1" x="138"/>
        <item m="1" x="148"/>
        <item m="1" x="85"/>
        <item m="1" x="246"/>
        <item m="1" x="182"/>
        <item m="1" x="175"/>
        <item m="1" x="135"/>
        <item m="1" x="95"/>
        <item m="1" x="214"/>
        <item m="1" x="221"/>
        <item m="1" x="232"/>
        <item m="1" x="241"/>
        <item m="1" x="106"/>
        <item m="1" x="150"/>
        <item m="1" x="249"/>
        <item m="1" x="75"/>
        <item m="1" x="72"/>
        <item m="1" x="209"/>
        <item m="1" x="91"/>
        <item x="40"/>
        <item m="1" x="92"/>
        <item m="1" x="184"/>
        <item m="1" x="243"/>
        <item x="68"/>
        <item m="1" x="127"/>
        <item x="39"/>
        <item x="56"/>
        <item x="31"/>
        <item x="34"/>
        <item x="61"/>
        <item x="67"/>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6">
        <item h="1" x="2"/>
        <item h="1" x="1"/>
        <item x="0"/>
        <item h="1" x="3"/>
        <item h="1" m="1" x="4"/>
        <item h="1" m="1" x="5"/>
      </items>
    </pivotField>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164" outline="0" showAll="0" defaultSubtotal="0"/>
    <pivotField compact="0" numFmtId="164"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compact="0" outline="0" showAll="0"/>
    <pivotField compact="0" outline="0" showAll="0"/>
    <pivotField compact="0" outline="0" showAll="0" defaultSubtotal="0"/>
    <pivotField compact="0" outline="0" showAll="0" defaultSubtotal="0"/>
  </pivotFields>
  <rowItems count="1">
    <i/>
  </rowItems>
  <colItems count="1">
    <i/>
  </colItems>
  <pageFields count="2">
    <pageField fld="42" hier="-1"/>
    <pageField fld="8" hier="-1"/>
  </pageFields>
  <dataFields count="1">
    <dataField name="Count of Opportunity Description" fld="1" subtotal="count" baseField="0" baseItem="0"/>
  </dataFields>
  <formats count="1">
    <format dxfId="2">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4000000}" name="PivotTable5" cacheId="0" applyNumberFormats="0" applyBorderFormats="0" applyFontFormats="0" applyPatternFormats="0" applyAlignmentFormats="0" applyWidthHeightFormats="1" dataCaption="Values" updatedVersion="7" minRefreshableVersion="3" useAutoFormatting="1" rowGrandTotals="0" colGrandTotals="0" itemPrintTitles="1" createdVersion="4" indent="0" compact="0" compactData="0" multipleFieldFilters="0">
  <location ref="D164:D165" firstHeaderRow="1" firstDataRow="1" firstDataCol="0" rowPageCount="2" colPageCount="1"/>
  <pivotFields count="48">
    <pivotField compact="0" outline="0" showAll="0" defaultSubtotal="0"/>
    <pivotField dataField="1" compact="0" outline="0" showAll="0" defaultSubtotal="0">
      <items count="251">
        <item m="1" x="201"/>
        <item m="1" x="99"/>
        <item m="1" x="244"/>
        <item m="1" x="156"/>
        <item m="1" x="78"/>
        <item m="1" x="224"/>
        <item m="1" x="139"/>
        <item m="1" x="179"/>
        <item m="1" x="229"/>
        <item m="1" x="97"/>
        <item m="1" x="198"/>
        <item m="1" x="222"/>
        <item m="1" x="140"/>
        <item m="1" x="70"/>
        <item m="1" x="117"/>
        <item m="1" x="192"/>
        <item m="1" x="169"/>
        <item m="1" x="123"/>
        <item m="1" x="115"/>
        <item m="1" x="250"/>
        <item m="1" x="94"/>
        <item m="1" x="205"/>
        <item m="1" x="100"/>
        <item m="1" x="116"/>
        <item m="1" x="146"/>
        <item m="1" x="172"/>
        <item m="1" x="87"/>
        <item m="1" x="147"/>
        <item m="1" x="152"/>
        <item m="1" x="103"/>
        <item m="1" x="237"/>
        <item m="1" x="191"/>
        <item m="1" x="234"/>
        <item m="1" x="93"/>
        <item m="1" x="204"/>
        <item m="1" x="248"/>
        <item m="1" x="143"/>
        <item m="1" x="126"/>
        <item m="1" x="206"/>
        <item m="1" x="145"/>
        <item m="1" x="203"/>
        <item m="1" x="247"/>
        <item m="1" x="239"/>
        <item m="1" x="107"/>
        <item m="1" x="133"/>
        <item m="1" x="82"/>
        <item m="1" x="225"/>
        <item m="1" x="162"/>
        <item m="1" x="160"/>
        <item m="1" x="128"/>
        <item m="1" x="125"/>
        <item m="1" x="181"/>
        <item m="1" x="238"/>
        <item m="1" x="207"/>
        <item m="1" x="161"/>
        <item m="1" x="170"/>
        <item m="1" x="217"/>
        <item m="1" x="86"/>
        <item m="1" x="134"/>
        <item m="1" x="90"/>
        <item m="1" x="200"/>
        <item m="1" x="168"/>
        <item m="1" x="167"/>
        <item m="1" x="101"/>
        <item m="1" x="71"/>
        <item m="1" x="185"/>
        <item m="1" x="228"/>
        <item m="1" x="129"/>
        <item m="1" x="77"/>
        <item m="1" x="136"/>
        <item m="1" x="183"/>
        <item m="1" x="159"/>
        <item m="1" x="130"/>
        <item m="1" x="210"/>
        <item m="1" x="98"/>
        <item m="1" x="240"/>
        <item m="1" x="230"/>
        <item m="1" x="118"/>
        <item m="1" x="165"/>
        <item x="69"/>
        <item m="1" x="180"/>
        <item m="1" x="187"/>
        <item m="1" x="88"/>
        <item m="1" x="173"/>
        <item x="4"/>
        <item m="1" x="164"/>
        <item m="1" x="108"/>
        <item m="1" x="211"/>
        <item m="1" x="213"/>
        <item m="1" x="202"/>
        <item m="1" x="73"/>
        <item m="1" x="196"/>
        <item x="14"/>
        <item m="1" x="235"/>
        <item m="1" x="227"/>
        <item m="1" x="158"/>
        <item m="1" x="193"/>
        <item m="1" x="216"/>
        <item m="1" x="178"/>
        <item m="1" x="176"/>
        <item m="1" x="219"/>
        <item x="24"/>
        <item m="1" x="174"/>
        <item m="1" x="215"/>
        <item m="1" x="144"/>
        <item x="27"/>
        <item m="1" x="194"/>
        <item x="29"/>
        <item x="30"/>
        <item x="32"/>
        <item m="1" x="177"/>
        <item m="1" x="242"/>
        <item x="38"/>
        <item m="1" x="96"/>
        <item m="1" x="79"/>
        <item m="1" x="76"/>
        <item m="1" x="112"/>
        <item m="1" x="121"/>
        <item m="1" x="166"/>
        <item m="1" x="151"/>
        <item m="1" x="189"/>
        <item m="1" x="208"/>
        <item x="48"/>
        <item x="49"/>
        <item m="1" x="163"/>
        <item m="1" x="84"/>
        <item m="1" x="141"/>
        <item m="1" x="220"/>
        <item m="1" x="155"/>
        <item m="1" x="80"/>
        <item m="1" x="104"/>
        <item m="1" x="113"/>
        <item m="1" x="195"/>
        <item m="1" x="114"/>
        <item m="1" x="120"/>
        <item x="62"/>
        <item m="1" x="212"/>
        <item m="1" x="137"/>
        <item m="1" x="154"/>
        <item m="1" x="188"/>
        <item m="1" x="89"/>
        <item m="1" x="83"/>
        <item m="1" x="199"/>
        <item m="1" x="110"/>
        <item x="19"/>
        <item x="20"/>
        <item m="1" x="153"/>
        <item x="23"/>
        <item m="1" x="102"/>
        <item x="26"/>
        <item x="36"/>
        <item x="37"/>
        <item x="21"/>
        <item m="1" x="226"/>
        <item m="1" x="122"/>
        <item m="1" x="197"/>
        <item x="58"/>
        <item m="1" x="186"/>
        <item m="1" x="233"/>
        <item m="1" x="74"/>
        <item x="22"/>
        <item m="1" x="218"/>
        <item x="25"/>
        <item m="1" x="223"/>
        <item m="1" x="111"/>
        <item m="1" x="231"/>
        <item x="43"/>
        <item x="47"/>
        <item m="1" x="131"/>
        <item x="53"/>
        <item m="1" x="149"/>
        <item m="1" x="105"/>
        <item m="1" x="119"/>
        <item m="1" x="132"/>
        <item x="60"/>
        <item x="63"/>
        <item x="64"/>
        <item m="1" x="157"/>
        <item x="59"/>
        <item x="65"/>
        <item m="1" x="124"/>
        <item x="66"/>
        <item m="1" x="142"/>
        <item m="1" x="190"/>
        <item m="1" x="171"/>
        <item m="1" x="245"/>
        <item m="1" x="81"/>
        <item m="1" x="236"/>
        <item m="1" x="109"/>
        <item m="1" x="138"/>
        <item m="1" x="148"/>
        <item m="1" x="85"/>
        <item m="1" x="246"/>
        <item m="1" x="182"/>
        <item m="1" x="175"/>
        <item m="1" x="135"/>
        <item m="1" x="95"/>
        <item m="1" x="214"/>
        <item m="1" x="221"/>
        <item m="1" x="232"/>
        <item m="1" x="241"/>
        <item m="1" x="106"/>
        <item m="1" x="150"/>
        <item m="1" x="249"/>
        <item m="1" x="75"/>
        <item m="1" x="72"/>
        <item m="1" x="209"/>
        <item m="1" x="91"/>
        <item x="40"/>
        <item m="1" x="92"/>
        <item m="1" x="184"/>
        <item m="1" x="243"/>
        <item x="68"/>
        <item m="1" x="127"/>
        <item x="39"/>
        <item x="56"/>
        <item x="31"/>
        <item x="34"/>
        <item x="61"/>
        <item x="67"/>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axis="axisPage" compact="0" outline="0" multipleItemSelectionAllowed="1" showAll="0" defaultSubtotal="0">
      <items count="6">
        <item h="1" x="0"/>
        <item h="1" x="1"/>
        <item x="2"/>
        <item h="1" x="3"/>
        <item h="1" m="1" x="4"/>
        <item h="1" m="1" x="5"/>
      </items>
    </pivotField>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164" outline="0" showAll="0" defaultSubtotal="0"/>
    <pivotField compact="0" numFmtId="164"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compact="0" outline="0" showAll="0"/>
    <pivotField compact="0" outline="0" showAll="0"/>
    <pivotField compact="0" outline="0" showAll="0" defaultSubtotal="0"/>
    <pivotField compact="0" outline="0" showAll="0" defaultSubtotal="0"/>
  </pivotFields>
  <rowItems count="1">
    <i/>
  </rowItems>
  <colItems count="1">
    <i/>
  </colItems>
  <pageFields count="2">
    <pageField fld="42" hier="-1"/>
    <pageField fld="10" hier="-1"/>
  </pageFields>
  <dataFields count="1">
    <dataField name="Count of Opportunity Description" fld="1" subtotal="count" baseField="0" baseItem="0"/>
  </dataFields>
  <formats count="1">
    <format dxfId="3">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3000000}" name="PivotTable4" cacheId="0" applyNumberFormats="0" applyBorderFormats="0" applyFontFormats="0" applyPatternFormats="0" applyAlignmentFormats="0" applyWidthHeightFormats="1" dataCaption="Values" updatedVersion="7" minRefreshableVersion="3" useAutoFormatting="1" rowGrandTotals="0" colGrandTotals="0" itemPrintTitles="1" createdVersion="4" indent="0" compact="0" compactData="0" multipleFieldFilters="0">
  <location ref="A164:A165" firstHeaderRow="1" firstDataRow="1" firstDataCol="0" rowPageCount="2" colPageCount="1"/>
  <pivotFields count="48">
    <pivotField compact="0" outline="0" showAll="0" defaultSubtotal="0"/>
    <pivotField dataField="1" compact="0" outline="0" showAll="0" defaultSubtotal="0">
      <items count="251">
        <item m="1" x="201"/>
        <item m="1" x="99"/>
        <item m="1" x="244"/>
        <item m="1" x="156"/>
        <item m="1" x="78"/>
        <item m="1" x="224"/>
        <item m="1" x="139"/>
        <item m="1" x="179"/>
        <item m="1" x="229"/>
        <item m="1" x="97"/>
        <item m="1" x="198"/>
        <item m="1" x="222"/>
        <item m="1" x="140"/>
        <item m="1" x="70"/>
        <item m="1" x="117"/>
        <item m="1" x="192"/>
        <item m="1" x="169"/>
        <item m="1" x="123"/>
        <item m="1" x="115"/>
        <item m="1" x="250"/>
        <item m="1" x="94"/>
        <item m="1" x="205"/>
        <item m="1" x="100"/>
        <item m="1" x="116"/>
        <item m="1" x="146"/>
        <item m="1" x="172"/>
        <item m="1" x="87"/>
        <item m="1" x="147"/>
        <item m="1" x="152"/>
        <item m="1" x="103"/>
        <item m="1" x="237"/>
        <item m="1" x="191"/>
        <item m="1" x="234"/>
        <item m="1" x="93"/>
        <item m="1" x="204"/>
        <item m="1" x="248"/>
        <item m="1" x="143"/>
        <item m="1" x="126"/>
        <item m="1" x="206"/>
        <item m="1" x="145"/>
        <item m="1" x="203"/>
        <item m="1" x="247"/>
        <item m="1" x="239"/>
        <item m="1" x="107"/>
        <item m="1" x="133"/>
        <item m="1" x="82"/>
        <item m="1" x="225"/>
        <item m="1" x="162"/>
        <item m="1" x="160"/>
        <item m="1" x="128"/>
        <item m="1" x="125"/>
        <item m="1" x="181"/>
        <item m="1" x="238"/>
        <item m="1" x="207"/>
        <item m="1" x="161"/>
        <item m="1" x="170"/>
        <item m="1" x="217"/>
        <item m="1" x="86"/>
        <item m="1" x="134"/>
        <item m="1" x="90"/>
        <item m="1" x="200"/>
        <item m="1" x="168"/>
        <item m="1" x="167"/>
        <item m="1" x="101"/>
        <item m="1" x="71"/>
        <item m="1" x="185"/>
        <item m="1" x="228"/>
        <item m="1" x="129"/>
        <item m="1" x="77"/>
        <item m="1" x="136"/>
        <item m="1" x="183"/>
        <item m="1" x="159"/>
        <item m="1" x="130"/>
        <item m="1" x="210"/>
        <item m="1" x="98"/>
        <item m="1" x="240"/>
        <item m="1" x="230"/>
        <item m="1" x="118"/>
        <item m="1" x="165"/>
        <item x="69"/>
        <item m="1" x="180"/>
        <item m="1" x="187"/>
        <item m="1" x="88"/>
        <item m="1" x="173"/>
        <item x="4"/>
        <item m="1" x="164"/>
        <item m="1" x="108"/>
        <item m="1" x="211"/>
        <item m="1" x="213"/>
        <item m="1" x="202"/>
        <item m="1" x="73"/>
        <item m="1" x="196"/>
        <item x="14"/>
        <item m="1" x="235"/>
        <item m="1" x="227"/>
        <item m="1" x="158"/>
        <item m="1" x="193"/>
        <item m="1" x="216"/>
        <item m="1" x="178"/>
        <item m="1" x="176"/>
        <item m="1" x="219"/>
        <item x="24"/>
        <item m="1" x="174"/>
        <item m="1" x="215"/>
        <item m="1" x="144"/>
        <item x="27"/>
        <item m="1" x="194"/>
        <item x="29"/>
        <item x="30"/>
        <item x="32"/>
        <item m="1" x="177"/>
        <item m="1" x="242"/>
        <item x="38"/>
        <item m="1" x="96"/>
        <item m="1" x="79"/>
        <item m="1" x="76"/>
        <item m="1" x="112"/>
        <item m="1" x="121"/>
        <item m="1" x="166"/>
        <item m="1" x="151"/>
        <item m="1" x="189"/>
        <item m="1" x="208"/>
        <item x="48"/>
        <item x="49"/>
        <item m="1" x="163"/>
        <item m="1" x="84"/>
        <item m="1" x="141"/>
        <item m="1" x="220"/>
        <item m="1" x="155"/>
        <item m="1" x="80"/>
        <item m="1" x="104"/>
        <item m="1" x="113"/>
        <item m="1" x="195"/>
        <item m="1" x="114"/>
        <item m="1" x="120"/>
        <item x="62"/>
        <item m="1" x="212"/>
        <item m="1" x="137"/>
        <item m="1" x="154"/>
        <item m="1" x="188"/>
        <item m="1" x="89"/>
        <item m="1" x="83"/>
        <item m="1" x="199"/>
        <item m="1" x="110"/>
        <item x="19"/>
        <item x="20"/>
        <item m="1" x="153"/>
        <item x="23"/>
        <item m="1" x="102"/>
        <item x="26"/>
        <item x="36"/>
        <item x="37"/>
        <item x="21"/>
        <item m="1" x="226"/>
        <item m="1" x="122"/>
        <item m="1" x="197"/>
        <item x="58"/>
        <item m="1" x="186"/>
        <item m="1" x="233"/>
        <item m="1" x="74"/>
        <item x="22"/>
        <item m="1" x="218"/>
        <item x="25"/>
        <item m="1" x="223"/>
        <item m="1" x="111"/>
        <item m="1" x="231"/>
        <item x="43"/>
        <item x="47"/>
        <item m="1" x="131"/>
        <item x="53"/>
        <item m="1" x="149"/>
        <item m="1" x="105"/>
        <item m="1" x="119"/>
        <item m="1" x="132"/>
        <item x="60"/>
        <item x="63"/>
        <item x="64"/>
        <item m="1" x="157"/>
        <item x="59"/>
        <item x="65"/>
        <item m="1" x="124"/>
        <item x="66"/>
        <item m="1" x="142"/>
        <item m="1" x="190"/>
        <item m="1" x="171"/>
        <item m="1" x="245"/>
        <item m="1" x="81"/>
        <item m="1" x="236"/>
        <item m="1" x="109"/>
        <item m="1" x="138"/>
        <item m="1" x="148"/>
        <item m="1" x="85"/>
        <item m="1" x="246"/>
        <item m="1" x="182"/>
        <item m="1" x="175"/>
        <item m="1" x="135"/>
        <item m="1" x="95"/>
        <item m="1" x="214"/>
        <item m="1" x="221"/>
        <item m="1" x="232"/>
        <item m="1" x="241"/>
        <item m="1" x="106"/>
        <item m="1" x="150"/>
        <item m="1" x="249"/>
        <item m="1" x="75"/>
        <item m="1" x="72"/>
        <item m="1" x="209"/>
        <item m="1" x="91"/>
        <item x="40"/>
        <item m="1" x="92"/>
        <item m="1" x="184"/>
        <item m="1" x="243"/>
        <item x="68"/>
        <item m="1" x="127"/>
        <item x="39"/>
        <item x="56"/>
        <item x="31"/>
        <item x="34"/>
        <item x="61"/>
        <item x="67"/>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Page" compact="0" outline="0" multipleItemSelectionAllowed="1" showAll="0" defaultSubtotal="0">
      <items count="6">
        <item h="1" x="0"/>
        <item h="1" x="2"/>
        <item x="1"/>
        <item h="1" x="3"/>
        <item h="1" m="1" x="4"/>
        <item h="1" m="1" x="5"/>
      </items>
    </pivotField>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164" outline="0" showAll="0" defaultSubtotal="0"/>
    <pivotField compact="0" numFmtId="164"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compact="0" outline="0" showAll="0"/>
    <pivotField compact="0" outline="0" showAll="0"/>
    <pivotField compact="0" outline="0" showAll="0" defaultSubtotal="0"/>
    <pivotField compact="0" outline="0" showAll="0" defaultSubtotal="0"/>
  </pivotFields>
  <rowItems count="1">
    <i/>
  </rowItems>
  <colItems count="1">
    <i/>
  </colItems>
  <pageFields count="2">
    <pageField fld="42" hier="-1"/>
    <pageField fld="9" hier="-1"/>
  </pageFields>
  <dataFields count="1">
    <dataField name="Count of Opportunity Description" fld="1" subtotal="count" baseField="0" baseItem="0"/>
  </dataFields>
  <formats count="1">
    <format dxfId="4">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PivotTable3" cacheId="1" applyNumberFormats="0" applyBorderFormats="0" applyFontFormats="0" applyPatternFormats="0" applyAlignmentFormats="0" applyWidthHeightFormats="1" dataCaption="Values" updatedVersion="7" minRefreshableVersion="3" rowGrandTotals="0" colGrandTotals="0" itemPrintTitles="1" createdVersion="4" indent="0" compact="0" compactData="0" multipleFieldFilters="0">
  <location ref="A134:I152" firstHeaderRow="0" firstDataRow="1" firstDataCol="2" rowPageCount="2" colPageCount="1"/>
  <pivotFields count="48">
    <pivotField compact="0" outline="0" showAll="0" defaultSubtotal="0"/>
    <pivotField axis="axisRow" compact="0" outline="0" showAll="0" defaultSubtotal="0">
      <items count="172">
        <item m="1" x="143"/>
        <item m="1" x="65"/>
        <item m="1" x="95"/>
        <item m="1" x="81"/>
        <item m="1" x="146"/>
        <item m="1" x="145"/>
        <item m="1" x="101"/>
        <item m="1" x="122"/>
        <item m="1" x="133"/>
        <item m="1" x="77"/>
        <item m="1" x="124"/>
        <item x="4"/>
        <item m="1" x="120"/>
        <item m="1" x="88"/>
        <item m="1" x="149"/>
        <item m="1" x="151"/>
        <item m="1" x="144"/>
        <item m="1" x="67"/>
        <item m="1" x="140"/>
        <item x="14"/>
        <item m="1" x="164"/>
        <item m="1" x="161"/>
        <item m="1" x="118"/>
        <item m="1" x="137"/>
        <item m="1" x="154"/>
        <item m="1" x="129"/>
        <item m="1" x="127"/>
        <item m="1" x="156"/>
        <item x="24"/>
        <item m="1" x="125"/>
        <item m="1" x="153"/>
        <item m="1" x="109"/>
        <item x="27"/>
        <item m="1" x="138"/>
        <item x="29"/>
        <item x="30"/>
        <item x="32"/>
        <item m="1" x="128"/>
        <item m="1" x="167"/>
        <item x="38"/>
        <item m="1" x="83"/>
        <item m="1" x="71"/>
        <item m="1" x="70"/>
        <item m="1" x="92"/>
        <item m="1" x="98"/>
        <item m="1" x="121"/>
        <item m="1" x="113"/>
        <item m="1" x="135"/>
        <item m="1" x="147"/>
        <item x="48"/>
        <item x="49"/>
        <item m="1" x="119"/>
        <item m="1" x="75"/>
        <item m="1" x="107"/>
        <item m="1" x="157"/>
        <item m="1" x="116"/>
        <item m="1" x="72"/>
        <item m="1" x="85"/>
        <item m="1" x="93"/>
        <item m="1" x="139"/>
        <item m="1" x="94"/>
        <item m="1" x="97"/>
        <item x="62"/>
        <item m="1" x="150"/>
        <item m="1" x="105"/>
        <item m="1" x="115"/>
        <item m="1" x="134"/>
        <item m="1" x="78"/>
        <item m="1" x="74"/>
        <item m="1" x="142"/>
        <item m="1" x="90"/>
        <item x="19"/>
        <item x="20"/>
        <item m="1" x="114"/>
        <item x="23"/>
        <item m="1" x="84"/>
        <item x="26"/>
        <item x="36"/>
        <item x="37"/>
        <item x="21"/>
        <item m="1" x="160"/>
        <item m="1" x="99"/>
        <item m="1" x="141"/>
        <item x="58"/>
        <item m="1" x="132"/>
        <item m="1" x="68"/>
        <item x="22"/>
        <item m="1" x="155"/>
        <item x="25"/>
        <item m="1" x="159"/>
        <item m="1" x="91"/>
        <item m="1" x="162"/>
        <item x="43"/>
        <item x="47"/>
        <item m="1" x="102"/>
        <item x="53"/>
        <item m="1" x="111"/>
        <item m="1" x="86"/>
        <item m="1" x="96"/>
        <item m="1" x="103"/>
        <item x="60"/>
        <item x="63"/>
        <item x="64"/>
        <item m="1" x="117"/>
        <item x="59"/>
        <item m="1" x="108"/>
        <item m="1" x="136"/>
        <item m="1" x="123"/>
        <item m="1" x="169"/>
        <item m="1" x="73"/>
        <item m="1" x="165"/>
        <item m="1" x="89"/>
        <item m="1" x="106"/>
        <item m="1" x="110"/>
        <item m="1" x="76"/>
        <item m="1" x="170"/>
        <item m="1" x="130"/>
        <item m="1" x="126"/>
        <item m="1" x="104"/>
        <item m="1" x="82"/>
        <item m="1" x="152"/>
        <item m="1" x="158"/>
        <item m="1" x="163"/>
        <item m="1" x="166"/>
        <item m="1" x="87"/>
        <item m="1" x="112"/>
        <item m="1" x="171"/>
        <item m="1" x="69"/>
        <item m="1" x="66"/>
        <item m="1" x="148"/>
        <item m="1" x="79"/>
        <item x="40"/>
        <item m="1" x="80"/>
        <item m="1" x="131"/>
        <item m="1" x="168"/>
        <item m="1" x="100"/>
        <item x="39"/>
        <item x="56"/>
        <item x="31"/>
        <item x="34"/>
        <item x="61"/>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5">
        <item h="1" x="2"/>
        <item h="1" x="1"/>
        <item x="0"/>
        <item h="1" m="1" x="3"/>
        <item h="1" m="1" x="4"/>
      </items>
    </pivotField>
    <pivotField dataField="1"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dataField="1" compact="0" numFmtId="172" outline="0" showAll="0" defaultSubtotal="0"/>
    <pivotField compact="0" numFmtId="172" outline="0" showAll="0" defaultSubtotal="0"/>
    <pivotField compact="0" numFmtId="172" outline="0" showAll="0" defaultSubtotal="0"/>
    <pivotField dataField="1" compact="0" numFmtId="172" outline="0" showAll="0" defaultSubtotal="0"/>
    <pivotField compact="0" numFmtId="172" outline="0" showAll="0" defaultSubtotal="0"/>
    <pivotField dataField="1" compact="0" numFmtId="172" outline="0" showAll="0" defaultSubtotal="0"/>
    <pivotField dataField="1" compact="0" numFmtId="164" outline="0" showAll="0" defaultSubtotal="0"/>
    <pivotField compact="0" numFmtId="164" outline="0" showAll="0" defaultSubtotal="0"/>
    <pivotField dataField="1" compact="0" numFmtId="164" outline="0" showAll="0" defaultSubtotal="0"/>
    <pivotField compact="0" outline="0" showAll="0" defaultSubtotal="0"/>
    <pivotField compact="0" outline="0" showAll="0" defaultSubtotal="0"/>
    <pivotField compact="0" numFmtId="3" outline="0" showAll="0"/>
    <pivotField compact="0" numFmtId="3" outline="0" showAll="0"/>
    <pivotField compact="0" numFmtId="3" outline="0" showAll="0"/>
    <pivotField axis="axisPage" compact="0" outline="0" multipleItemSelectionAllowed="1" showAll="0" defaultSubtotal="0">
      <items count="2">
        <item h="1" x="0"/>
        <item x="1"/>
      </items>
    </pivotField>
    <pivotField axis="axisRow" compact="0" outline="0" showAll="0" defaultSubtotal="0">
      <items count="39">
        <item x="2"/>
        <item x="6"/>
        <item m="1" x="36"/>
        <item m="1" x="18"/>
        <item m="1" x="32"/>
        <item m="1" x="35"/>
        <item m="1" x="30"/>
        <item m="1" x="17"/>
        <item m="1" x="37"/>
        <item m="1" x="21"/>
        <item m="1" x="25"/>
        <item m="1" x="16"/>
        <item m="1" x="24"/>
        <item m="1" x="23"/>
        <item m="1" x="28"/>
        <item m="1" x="29"/>
        <item m="1" x="20"/>
        <item m="1" x="15"/>
        <item m="1" x="34"/>
        <item m="1" x="38"/>
        <item m="1" x="31"/>
        <item m="1" x="19"/>
        <item x="0"/>
        <item m="1" x="26"/>
        <item m="1" x="22"/>
        <item m="1" x="33"/>
        <item m="1" x="27"/>
        <item x="7"/>
        <item x="8"/>
        <item x="9"/>
        <item x="10"/>
        <item x="11"/>
        <item x="13"/>
        <item x="14"/>
        <item x="1"/>
        <item x="3"/>
        <item x="4"/>
        <item x="5"/>
        <item x="12"/>
      </items>
    </pivotField>
  </pivotFields>
  <rowFields count="2">
    <field x="1"/>
    <field x="47"/>
  </rowFields>
  <rowItems count="18">
    <i>
      <x v="11"/>
      <x v="22"/>
    </i>
    <i>
      <x v="136"/>
      <x/>
    </i>
    <i>
      <x v="139"/>
      <x v="22"/>
    </i>
    <i>
      <x v="142"/>
      <x v="34"/>
    </i>
    <i>
      <x v="144"/>
      <x v="22"/>
    </i>
    <i>
      <x v="146"/>
      <x v="22"/>
    </i>
    <i>
      <x v="148"/>
      <x v="22"/>
    </i>
    <i>
      <x v="149"/>
      <x v="22"/>
    </i>
    <i>
      <x v="150"/>
      <x v="22"/>
    </i>
    <i>
      <x v="151"/>
      <x v="22"/>
    </i>
    <i>
      <x v="152"/>
      <x v="22"/>
    </i>
    <i>
      <x v="153"/>
      <x v="22"/>
    </i>
    <i>
      <x v="154"/>
      <x v="22"/>
    </i>
    <i>
      <x v="155"/>
      <x v="22"/>
    </i>
    <i>
      <x v="156"/>
      <x v="22"/>
    </i>
    <i>
      <x v="157"/>
      <x v="22"/>
    </i>
    <i>
      <x v="159"/>
      <x v="22"/>
    </i>
    <i>
      <x v="160"/>
      <x v="22"/>
    </i>
  </rowItems>
  <colFields count="1">
    <field x="-2"/>
  </colFields>
  <colItems count="7">
    <i>
      <x/>
    </i>
    <i i="1">
      <x v="1"/>
    </i>
    <i i="2">
      <x v="2"/>
    </i>
    <i i="3">
      <x v="3"/>
    </i>
    <i i="4">
      <x v="4"/>
    </i>
    <i i="5">
      <x v="5"/>
    </i>
    <i i="6">
      <x v="6"/>
    </i>
  </colItems>
  <pageFields count="2">
    <pageField fld="46" hier="-1"/>
    <pageField fld="8" hier="-1"/>
  </pageFields>
  <dataFields count="7">
    <dataField name="Sum of back-calculated actual saving ($ / yr)-Total" fld="37" baseField="0" baseItem="0"/>
    <dataField name="Sum of Consider Opportunity?-thermal" fld="9" baseField="47" baseItem="22"/>
    <dataField name="Sum of Consider Opportunity?-elec" fld="10" baseField="47" baseItem="22"/>
    <dataField name="Sum of back-calculated actual saving ($ / yr)-water" fld="35" baseField="0" baseItem="0"/>
    <dataField name="Sum of back-calculated adjusted CAPEX" fld="32" baseField="0" baseItem="0"/>
    <dataField name="Min of adjusted payback (years)-lower" fld="38" subtotal="min" baseField="0" baseItem="0"/>
    <dataField name="Max of adjusted payback (years)-upper" fld="40" subtotal="max" baseField="0" baseItem="0"/>
  </dataFields>
  <formats count="3">
    <format dxfId="7">
      <pivotArea field="1" type="button" dataOnly="0" labelOnly="1" outline="0" axis="axisRow" fieldPosition="0"/>
    </format>
    <format dxfId="6">
      <pivotArea dataOnly="0" labelOnly="1" outline="0" fieldPosition="0">
        <references count="1">
          <reference field="4294967294" count="2">
            <x v="5"/>
            <x v="6"/>
          </reference>
        </references>
      </pivotArea>
    </format>
    <format dxfId="5">
      <pivotArea dataOnly="0" labelOnly="1" outline="0" fieldPosition="0">
        <references count="1">
          <reference field="4294967294" count="7">
            <x v="0"/>
            <x v="1"/>
            <x v="2"/>
            <x v="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1" applyNumberFormats="0" applyBorderFormats="0" applyFontFormats="0" applyPatternFormats="0" applyAlignmentFormats="0" applyWidthHeightFormats="1" dataCaption="Values" updatedVersion="7" minRefreshableVersion="3" rowGrandTotals="0" colGrandTotals="0" itemPrintTitles="1" createdVersion="4" indent="0" compact="0" compactData="0" multipleFieldFilters="0">
  <location ref="A104:L104" firstHeaderRow="0" firstDataRow="1" firstDataCol="2" rowPageCount="2" colPageCount="1"/>
  <pivotFields count="48">
    <pivotField compact="0" outline="0" showAll="0" defaultSubtotal="0"/>
    <pivotField axis="axisRow" compact="0" outline="0" showAll="0" defaultSubtotal="0">
      <items count="172">
        <item m="1" x="143"/>
        <item m="1" x="65"/>
        <item m="1" x="95"/>
        <item m="1" x="81"/>
        <item m="1" x="146"/>
        <item m="1" x="145"/>
        <item m="1" x="101"/>
        <item m="1" x="122"/>
        <item m="1" x="133"/>
        <item m="1" x="77"/>
        <item m="1" x="124"/>
        <item x="4"/>
        <item m="1" x="120"/>
        <item m="1" x="88"/>
        <item m="1" x="149"/>
        <item m="1" x="151"/>
        <item m="1" x="144"/>
        <item m="1" x="67"/>
        <item m="1" x="140"/>
        <item x="14"/>
        <item m="1" x="164"/>
        <item m="1" x="161"/>
        <item m="1" x="118"/>
        <item m="1" x="137"/>
        <item m="1" x="154"/>
        <item m="1" x="129"/>
        <item m="1" x="127"/>
        <item m="1" x="156"/>
        <item x="24"/>
        <item m="1" x="125"/>
        <item m="1" x="153"/>
        <item m="1" x="109"/>
        <item x="27"/>
        <item m="1" x="138"/>
        <item x="29"/>
        <item x="30"/>
        <item x="32"/>
        <item m="1" x="128"/>
        <item m="1" x="167"/>
        <item x="38"/>
        <item m="1" x="83"/>
        <item m="1" x="71"/>
        <item m="1" x="70"/>
        <item m="1" x="92"/>
        <item m="1" x="98"/>
        <item m="1" x="121"/>
        <item m="1" x="113"/>
        <item m="1" x="135"/>
        <item m="1" x="147"/>
        <item x="48"/>
        <item x="49"/>
        <item m="1" x="119"/>
        <item m="1" x="75"/>
        <item m="1" x="107"/>
        <item m="1" x="157"/>
        <item m="1" x="116"/>
        <item m="1" x="72"/>
        <item m="1" x="85"/>
        <item m="1" x="93"/>
        <item m="1" x="139"/>
        <item m="1" x="94"/>
        <item m="1" x="97"/>
        <item x="62"/>
        <item m="1" x="150"/>
        <item m="1" x="105"/>
        <item m="1" x="115"/>
        <item m="1" x="134"/>
        <item m="1" x="78"/>
        <item m="1" x="74"/>
        <item m="1" x="142"/>
        <item m="1" x="90"/>
        <item x="19"/>
        <item x="20"/>
        <item m="1" x="114"/>
        <item x="23"/>
        <item m="1" x="84"/>
        <item x="26"/>
        <item x="36"/>
        <item x="37"/>
        <item x="21"/>
        <item m="1" x="160"/>
        <item m="1" x="99"/>
        <item m="1" x="141"/>
        <item x="58"/>
        <item m="1" x="132"/>
        <item m="1" x="68"/>
        <item x="22"/>
        <item m="1" x="155"/>
        <item x="25"/>
        <item m="1" x="159"/>
        <item m="1" x="91"/>
        <item m="1" x="162"/>
        <item x="43"/>
        <item x="47"/>
        <item m="1" x="102"/>
        <item x="53"/>
        <item m="1" x="111"/>
        <item m="1" x="86"/>
        <item m="1" x="96"/>
        <item m="1" x="103"/>
        <item x="60"/>
        <item x="63"/>
        <item x="64"/>
        <item m="1" x="117"/>
        <item x="59"/>
        <item m="1" x="108"/>
        <item m="1" x="136"/>
        <item m="1" x="123"/>
        <item m="1" x="169"/>
        <item m="1" x="73"/>
        <item m="1" x="165"/>
        <item m="1" x="89"/>
        <item m="1" x="106"/>
        <item m="1" x="110"/>
        <item m="1" x="76"/>
        <item m="1" x="170"/>
        <item m="1" x="130"/>
        <item m="1" x="126"/>
        <item m="1" x="104"/>
        <item m="1" x="82"/>
        <item m="1" x="152"/>
        <item m="1" x="158"/>
        <item m="1" x="163"/>
        <item m="1" x="166"/>
        <item m="1" x="87"/>
        <item m="1" x="112"/>
        <item m="1" x="171"/>
        <item m="1" x="69"/>
        <item m="1" x="66"/>
        <item m="1" x="148"/>
        <item m="1" x="79"/>
        <item x="40"/>
        <item m="1" x="80"/>
        <item m="1" x="131"/>
        <item m="1" x="168"/>
        <item m="1" x="100"/>
        <item x="39"/>
        <item x="56"/>
        <item x="31"/>
        <item x="34"/>
        <item x="61"/>
        <item x="0"/>
        <item x="1"/>
        <item x="2"/>
        <item x="3"/>
        <item x="5"/>
        <item x="6"/>
        <item x="7"/>
        <item x="8"/>
        <item x="9"/>
        <item x="10"/>
        <item x="11"/>
        <item x="12"/>
        <item x="13"/>
        <item x="15"/>
        <item x="16"/>
        <item x="17"/>
        <item x="18"/>
        <item x="28"/>
        <item x="33"/>
        <item x="35"/>
        <item x="41"/>
        <item x="42"/>
        <item x="44"/>
        <item x="45"/>
        <item x="46"/>
        <item x="50"/>
        <item x="51"/>
        <item x="52"/>
        <item x="54"/>
        <item x="55"/>
        <item x="5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axis="axisPage" compact="0" outline="0" multipleItemSelectionAllowed="1" showAll="0" defaultSubtotal="0">
      <items count="5">
        <item h="1" x="0"/>
        <item h="1" x="1"/>
        <item x="2"/>
        <item h="1" m="1" x="3"/>
        <item h="1" m="1" x="4"/>
      </items>
    </pivotField>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numFmtId="171" outline="0" showAll="0" defaultSubtotal="0"/>
    <pivotField compact="0" numFmtId="171" outline="0" showAll="0" defaultSubtotal="0"/>
    <pivotField compact="0" numFmtId="171"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compact="0" numFmtId="172" outline="0" showAll="0" defaultSubtotal="0"/>
    <pivotField dataField="1" compact="0" numFmtId="172" outline="0" showAll="0" defaultSubtotal="0"/>
    <pivotField dataField="1" compact="0" numFmtId="172" outline="0" showAll="0" defaultSubtotal="0"/>
    <pivotField dataField="1" compact="0" numFmtId="172" outline="0" showAll="0" defaultSubtotal="0"/>
    <pivotField dataField="1" compact="0" numFmtId="172" outline="0" showAll="0" defaultSubtotal="0"/>
    <pivotField compact="0" numFmtId="172" outline="0" showAll="0" defaultSubtotal="0"/>
    <pivotField dataField="1" compact="0" numFmtId="172" outline="0" showAll="0" defaultSubtotal="0"/>
    <pivotField dataField="1" compact="0" numFmtId="164" outline="0" showAll="0" defaultSubtotal="0"/>
    <pivotField compact="0" numFmtId="164" outline="0" showAll="0" defaultSubtotal="0"/>
    <pivotField dataField="1" compact="0" numFmtId="164" outline="0" showAll="0" defaultSubtotal="0"/>
    <pivotField compact="0" outline="0" showAll="0" defaultSubtotal="0"/>
    <pivotField compact="0" outline="0" showAll="0" defaultSubtotal="0"/>
    <pivotField dataField="1" compact="0" numFmtId="3" outline="0" showAll="0"/>
    <pivotField dataField="1" compact="0" numFmtId="3" outline="0" showAll="0"/>
    <pivotField dataField="1" compact="0" numFmtId="3" outline="0" showAll="0"/>
    <pivotField axis="axisPage" compact="0" outline="0" multipleItemSelectionAllowed="1" showAll="0" defaultSubtotal="0">
      <items count="2">
        <item h="1" x="0"/>
        <item x="1"/>
      </items>
    </pivotField>
    <pivotField axis="axisRow" compact="0" outline="0" showAll="0" defaultSubtotal="0">
      <items count="39">
        <item x="2"/>
        <item x="6"/>
        <item m="1" x="36"/>
        <item m="1" x="18"/>
        <item m="1" x="32"/>
        <item m="1" x="35"/>
        <item m="1" x="30"/>
        <item m="1" x="17"/>
        <item m="1" x="37"/>
        <item m="1" x="21"/>
        <item m="1" x="25"/>
        <item m="1" x="16"/>
        <item m="1" x="24"/>
        <item m="1" x="23"/>
        <item m="1" x="28"/>
        <item m="1" x="29"/>
        <item m="1" x="20"/>
        <item m="1" x="15"/>
        <item m="1" x="34"/>
        <item m="1" x="38"/>
        <item m="1" x="31"/>
        <item m="1" x="19"/>
        <item x="0"/>
        <item m="1" x="26"/>
        <item m="1" x="22"/>
        <item m="1" x="33"/>
        <item m="1" x="27"/>
        <item x="7"/>
        <item x="8"/>
        <item x="9"/>
        <item x="10"/>
        <item x="11"/>
        <item x="13"/>
        <item x="14"/>
        <item x="1"/>
        <item x="3"/>
        <item x="4"/>
        <item x="5"/>
        <item x="12"/>
      </items>
    </pivotField>
  </pivotFields>
  <rowFields count="2">
    <field x="1"/>
    <field x="47"/>
  </rowFields>
  <colFields count="1">
    <field x="-2"/>
  </colFields>
  <colItems count="10">
    <i>
      <x/>
    </i>
    <i i="1">
      <x v="1"/>
    </i>
    <i i="2">
      <x v="2"/>
    </i>
    <i i="3">
      <x v="3"/>
    </i>
    <i i="4">
      <x v="4"/>
    </i>
    <i i="5">
      <x v="5"/>
    </i>
    <i i="6">
      <x v="6"/>
    </i>
    <i i="7">
      <x v="7"/>
    </i>
    <i i="8">
      <x v="8"/>
    </i>
    <i i="9">
      <x v="9"/>
    </i>
  </colItems>
  <pageFields count="2">
    <pageField fld="46" hier="-1"/>
    <pageField fld="10" hier="-1"/>
  </pageFields>
  <dataFields count="10">
    <dataField name="Sum of back-calculated actual saving ($ / yr)-Total" fld="37" baseField="0" baseItem="0"/>
    <dataField name="Sum of back-calculated actual saving ($ / yr)-thermal" fld="33" baseField="0" baseItem="0"/>
    <dataField name="Sum of back-calculated actual saving ($ / yr)-elec" fld="34" baseField="0" baseItem="0"/>
    <dataField name="Sum of back-calculated actual saving ($ / yr)-water" fld="35" baseField="0" baseItem="0"/>
    <dataField name="Sum of back-calculated adjusted CAPEX" fld="32" baseField="0" baseItem="0"/>
    <dataField name="Min of adjusted payback (years)-lower" fld="38" subtotal="min" baseField="0" baseItem="0"/>
    <dataField name="Max of adjusted payback (years)-upper" fld="40" subtotal="max" baseField="0" baseItem="0"/>
    <dataField name="Sum of Scope 1 saving" fld="43" baseField="0" baseItem="0"/>
    <dataField name="Sum of Scope 2 saving" fld="44" baseField="0" baseItem="0"/>
    <dataField name="Sum of Total emissions saving" fld="45" baseField="0" baseItem="0"/>
  </dataFields>
  <formats count="3">
    <format dxfId="10">
      <pivotArea field="1" type="button" dataOnly="0" labelOnly="1" outline="0" axis="axisRow" fieldPosition="0"/>
    </format>
    <format dxfId="9">
      <pivotArea dataOnly="0" labelOnly="1" outline="0" fieldPosition="0">
        <references count="1">
          <reference field="4294967294" count="2">
            <x v="5"/>
            <x v="6"/>
          </reference>
        </references>
      </pivotArea>
    </format>
    <format dxfId="8">
      <pivotArea dataOnly="0" labelOnly="1" outline="0" fieldPosition="0">
        <references count="1">
          <reference field="4294967294"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Energetics">
  <a:themeElements>
    <a:clrScheme name="Energetics">
      <a:dk1>
        <a:srgbClr val="5E5F61"/>
      </a:dk1>
      <a:lt1>
        <a:srgbClr val="FFFFFF"/>
      </a:lt1>
      <a:dk2>
        <a:srgbClr val="DD6225"/>
      </a:dk2>
      <a:lt2>
        <a:srgbClr val="FFFFFF"/>
      </a:lt2>
      <a:accent1>
        <a:srgbClr val="F48024"/>
      </a:accent1>
      <a:accent2>
        <a:srgbClr val="5E5F61"/>
      </a:accent2>
      <a:accent3>
        <a:srgbClr val="FDD4B2"/>
      </a:accent3>
      <a:accent4>
        <a:srgbClr val="F8A76B"/>
      </a:accent4>
      <a:accent5>
        <a:srgbClr val="D9823F"/>
      </a:accent5>
      <a:accent6>
        <a:srgbClr val="808184"/>
      </a:accent6>
      <a:hlink>
        <a:srgbClr val="9D520E"/>
      </a:hlink>
      <a:folHlink>
        <a:srgbClr val="5E5F61"/>
      </a:folHlink>
    </a:clrScheme>
    <a:fontScheme name="Energetics">
      <a:majorFont>
        <a:latin typeface="Arial"/>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nergetic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6350" cap="flat" cmpd="sng" algn="ctr">
          <a:solidFill>
            <a:schemeClr val="phClr"/>
          </a:solidFill>
          <a:prstDash val="solid"/>
        </a:ln>
        <a:ln w="6350" cap="flat" cmpd="sng"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a:rot lat="0" lon="0" rev="0"/>
            </a:camera>
            <a:lightRig rig="threePt" dir="t">
              <a:rot lat="0" lon="0" rev="1800000"/>
            </a:lightRig>
          </a:scene3d>
          <a:sp3d prstMaterial="matte">
            <a:bevelT h="20000"/>
          </a:sp3d>
        </a:effectStyle>
      </a:effectStyleLst>
      <a:bgFillStyleLst>
        <a:solidFill>
          <a:schemeClr val="lt1"/>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tint val="48000"/>
                <a:shade val="70000"/>
                <a:satMod val="300000"/>
              </a:schemeClr>
            </a:gs>
          </a:gsLst>
          <a:lin ang="5400000" scaled="0"/>
        </a:gradFill>
        <a:gradFill rotWithShape="1">
          <a:gsLst>
            <a:gs pos="0">
              <a:schemeClr val="phClr"/>
            </a:gs>
            <a:gs pos="100000">
              <a:schemeClr val="phClr">
                <a:shade val="50000"/>
                <a:satMod val="20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2" dT="2020-12-02T00:28:20.21" personId="{F785E93F-1BA5-49A9-8181-E250E867648E}" id="{36237512-FC24-41CD-AFB0-286527E65481}">
    <text>Assuming the site always have chilling capacity. The fits the assumption in Benchmark-adjustment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www.ampc.com.au/news/58/104/The-WHS-Website-for-Meat-Processing-Supervisors" TargetMode="External"/><Relationship Id="rId117" Type="http://schemas.openxmlformats.org/officeDocument/2006/relationships/vmlDrawing" Target="../drawings/vmlDrawing15.vml"/><Relationship Id="rId21" Type="http://schemas.openxmlformats.org/officeDocument/2006/relationships/hyperlink" Target="http://www.ampc.com.au/2011/06/Industry-environmental-sustainabaility-review-2010" TargetMode="External"/><Relationship Id="rId42" Type="http://schemas.openxmlformats.org/officeDocument/2006/relationships/hyperlink" Target="http://www.ampc.com.au/2013/09/NGERS-and-Wastewater-Management" TargetMode="External"/><Relationship Id="rId47" Type="http://schemas.openxmlformats.org/officeDocument/2006/relationships/hyperlink" Target="http://www.ampc.com.au/2014/06/Tripe-Wash-Water-Reuse-in-Beef-Processing" TargetMode="External"/><Relationship Id="rId63" Type="http://schemas.openxmlformats.org/officeDocument/2006/relationships/hyperlink" Target="http://www.ampc.com.au/2015/03/Optimised-Water-Reduction-Through-Steam-Sanitation-Technology" TargetMode="External"/><Relationship Id="rId68" Type="http://schemas.openxmlformats.org/officeDocument/2006/relationships/hyperlink" Target="https://www.ecoefficiencygroup.com.au/wp-content/uploads/2017/11/ecomeat_manual.pdf" TargetMode="External"/><Relationship Id="rId84" Type="http://schemas.openxmlformats.org/officeDocument/2006/relationships/hyperlink" Target="https://www.ecoefficiencygroup.com.au/wp-content/uploads/2017/11/ecomeat_manual.pdf" TargetMode="External"/><Relationship Id="rId89" Type="http://schemas.openxmlformats.org/officeDocument/2006/relationships/hyperlink" Target="https://www.ecoefficiencygroup.com.au/wp-content/uploads/2017/11/ecomeat_manual.pdf" TargetMode="External"/><Relationship Id="rId112" Type="http://schemas.openxmlformats.org/officeDocument/2006/relationships/hyperlink" Target="https://www.environment.nsw.gov.au/resources/business/IndustrialRefrigerationTechnologyReport.pdf" TargetMode="External"/><Relationship Id="rId16" Type="http://schemas.openxmlformats.org/officeDocument/2006/relationships/hyperlink" Target="https://www.ampc.com.au/uploads/cgblog/id165/CAP_2008_Review-of-Abattoir-water-usage-reduction-recycling-and-reuse__Final-report.pdf" TargetMode="External"/><Relationship Id="rId107" Type="http://schemas.openxmlformats.org/officeDocument/2006/relationships/hyperlink" Target="https://www.environment.nsw.gov.au/resources/business/compressed-air-guide-170257.pdf" TargetMode="External"/><Relationship Id="rId11" Type="http://schemas.openxmlformats.org/officeDocument/2006/relationships/hyperlink" Target="http://www.ecoefficiency.com.au/Portals/56/factsheets/foodprocess/meat/ecomeat_manual.pdf" TargetMode="External"/><Relationship Id="rId32" Type="http://schemas.openxmlformats.org/officeDocument/2006/relationships/hyperlink" Target="http://www.ampc.com.au/2017/03/Year-78-Meat-Matters-Student-Project-File" TargetMode="External"/><Relationship Id="rId37" Type="http://schemas.openxmlformats.org/officeDocument/2006/relationships/hyperlink" Target="http://www.ampc.com.au/2016/07/Sanitation-of-Viscera-Tables-using-Steam" TargetMode="External"/><Relationship Id="rId53" Type="http://schemas.openxmlformats.org/officeDocument/2006/relationships/hyperlink" Target="http://www.ampc.com.au/2015/06/Assessing-the-effectiveness-of-a-carcase-hot-water-decontamination-cabinet-in-small-stock-processing" TargetMode="External"/><Relationship Id="rId58" Type="http://schemas.openxmlformats.org/officeDocument/2006/relationships/hyperlink" Target="http://www.ampc.com.au/2013/08/Facilitation-of-Water-Reuse-Projects" TargetMode="External"/><Relationship Id="rId74" Type="http://schemas.openxmlformats.org/officeDocument/2006/relationships/hyperlink" Target="https://www.ecoefficiencygroup.com.au/wp-content/uploads/2017/11/ecomeat_manual.pdf" TargetMode="External"/><Relationship Id="rId79" Type="http://schemas.openxmlformats.org/officeDocument/2006/relationships/hyperlink" Target="https://www.ecoefficiencygroup.com.au/wp-content/uploads/2017/11/ecomeat_manual.pdf" TargetMode="External"/><Relationship Id="rId102" Type="http://schemas.openxmlformats.org/officeDocument/2006/relationships/hyperlink" Target="https://www.environment.nsw.gov.au/resources/business/IndustrialRefrigerationTechnologyReport.pdf" TargetMode="External"/><Relationship Id="rId5" Type="http://schemas.openxmlformats.org/officeDocument/2006/relationships/hyperlink" Target="https://www.ecoefficiencygroup.com.au/wp-content/uploads/2017/11/ecomeat_manual.pdf" TargetMode="External"/><Relationship Id="rId90" Type="http://schemas.openxmlformats.org/officeDocument/2006/relationships/hyperlink" Target="https://www.ecoefficiencygroup.com.au/wp-content/uploads/2017/11/ecomeat_manual.pdf" TargetMode="External"/><Relationship Id="rId95" Type="http://schemas.openxmlformats.org/officeDocument/2006/relationships/hyperlink" Target="https://www.ampc.com.au/2011/09/Using-Covered-Anaerobic-Ponds-to-Treat-Abattoir-Wastewater-Reduce-Greenhouse-Gases-and-Generate-Bio-Energy" TargetMode="External"/><Relationship Id="rId22" Type="http://schemas.openxmlformats.org/officeDocument/2006/relationships/hyperlink" Target="http://www.ampc.com.au/feasibility-study-integrated-aquaculture" TargetMode="External"/><Relationship Id="rId27" Type="http://schemas.openxmlformats.org/officeDocument/2006/relationships/hyperlink" Target="http://www.ampc.com.au/sustainabilty/2016-report" TargetMode="External"/><Relationship Id="rId43" Type="http://schemas.openxmlformats.org/officeDocument/2006/relationships/hyperlink" Target="http://www.ampc.com.au/2006/12/Innovation-and-energy-management-and-reduction" TargetMode="External"/><Relationship Id="rId48" Type="http://schemas.openxmlformats.org/officeDocument/2006/relationships/hyperlink" Target="http://www.ampc.com.au/2012/12/Wingham-Chiller-Cleaning" TargetMode="External"/><Relationship Id="rId64" Type="http://schemas.openxmlformats.org/officeDocument/2006/relationships/hyperlink" Target="http://www.ampc.com.au/2008/06/Review-of-abattoir-water-usage-reduction-recycling-and-reuse" TargetMode="External"/><Relationship Id="rId69" Type="http://schemas.openxmlformats.org/officeDocument/2006/relationships/hyperlink" Target="https://www.ecoefficiencygroup.com.au/wp-content/uploads/2017/11/ecomeat_manual.pdf" TargetMode="External"/><Relationship Id="rId113" Type="http://schemas.openxmlformats.org/officeDocument/2006/relationships/hyperlink" Target="https://www.ecoefficiencygroup.com.au/wp-content/uploads/2017/11/ecomeat_manual.pdf" TargetMode="External"/><Relationship Id="rId80" Type="http://schemas.openxmlformats.org/officeDocument/2006/relationships/hyperlink" Target="https://www.ecoefficiencygroup.com.au/wp-content/uploads/2017/11/ecomeat_manual.pdf" TargetMode="External"/><Relationship Id="rId85" Type="http://schemas.openxmlformats.org/officeDocument/2006/relationships/hyperlink" Target="https://www.ecoefficiencygroup.com.au/wp-content/uploads/2017/11/ecomeat_manual.pdf" TargetMode="External"/><Relationship Id="rId12" Type="http://schemas.openxmlformats.org/officeDocument/2006/relationships/hyperlink" Target="https://www.ecoefficiencygroup.com.au/wp-content/uploads/2017/11/ecomeat_manual.pdf" TargetMode="External"/><Relationship Id="rId17" Type="http://schemas.openxmlformats.org/officeDocument/2006/relationships/hyperlink" Target="http://www.ampc.com.au/2016/07/Wastewater-Treatment-with-Anaerobic-Digestion-Anammox" TargetMode="External"/><Relationship Id="rId33" Type="http://schemas.openxmlformats.org/officeDocument/2006/relationships/hyperlink" Target="http://www.ampc.com.au/2015/02/Review-of-wastewater-treatment-chemicals-and-organic-chemistry-alternatives-for-abattoir-effluent" TargetMode="External"/><Relationship Id="rId38" Type="http://schemas.openxmlformats.org/officeDocument/2006/relationships/hyperlink" Target="http://www.ampc.com.au/2015/05/Environmental-Performance-Review-Red-Meat-Processing-Sector-2015" TargetMode="External"/><Relationship Id="rId59" Type="http://schemas.openxmlformats.org/officeDocument/2006/relationships/hyperlink" Target="http://www.ampc.com.au/2013/08/Facilitation-of-Water-Reuse-Projects-2012-13" TargetMode="External"/><Relationship Id="rId103" Type="http://schemas.openxmlformats.org/officeDocument/2006/relationships/hyperlink" Target="https://www.environment.nsw.gov.au/resources/business/IndustrialRefrigerationTechnologyReport.pdf" TargetMode="External"/><Relationship Id="rId108" Type="http://schemas.openxmlformats.org/officeDocument/2006/relationships/hyperlink" Target="https://www.sustainability.vic.gov.au/-/media/SV/Publications/Business/Efficient-business-operations/Energy-efficiency-for-business/Energy-efficiency-best-practice-guidelines/SRSB-BPG-Heating-Manual-Mar-2015.pdf?la=en" TargetMode="External"/><Relationship Id="rId54" Type="http://schemas.openxmlformats.org/officeDocument/2006/relationships/hyperlink" Target="http://www.ampc.com.au/economic-analysis-demineralisation" TargetMode="External"/><Relationship Id="rId70" Type="http://schemas.openxmlformats.org/officeDocument/2006/relationships/hyperlink" Target="https://www.ecoefficiencygroup.com.au/wp-content/uploads/2017/11/ecomeat_manual.pdf" TargetMode="External"/><Relationship Id="rId75" Type="http://schemas.openxmlformats.org/officeDocument/2006/relationships/hyperlink" Target="https://www.ecoefficiencygroup.com.au/wp-content/uploads/2017/11/ecomeat_manual.pdf" TargetMode="External"/><Relationship Id="rId91" Type="http://schemas.openxmlformats.org/officeDocument/2006/relationships/hyperlink" Target="https://www.ecoefficiencygroup.com.au/wp-content/uploads/2017/11/ecomeat_manual.pdf" TargetMode="External"/><Relationship Id="rId96" Type="http://schemas.openxmlformats.org/officeDocument/2006/relationships/hyperlink" Target="https://www.ampc.com.au/2010/08/Use-of-Paunch-Waste-as-a-Boiler-Fuel" TargetMode="External"/><Relationship Id="rId1" Type="http://schemas.openxmlformats.org/officeDocument/2006/relationships/hyperlink" Target="http://www.ampc.com.au/2015/07/Efficient-lighting-options-and-review-of-lighting-standards-for-abattoirs" TargetMode="External"/><Relationship Id="rId6" Type="http://schemas.openxmlformats.org/officeDocument/2006/relationships/hyperlink" Target="http://www.ecoefficiency.com.au/Portals/56/factsheets/foodprocess/meat/ecomeat_manual.pdf" TargetMode="External"/><Relationship Id="rId23" Type="http://schemas.openxmlformats.org/officeDocument/2006/relationships/hyperlink" Target="http://www.ampc.com.au/2010/12/Wastewater-Best-Practice-Manual" TargetMode="External"/><Relationship Id="rId28" Type="http://schemas.openxmlformats.org/officeDocument/2006/relationships/hyperlink" Target="http://www.ampc.com.au/news/27/104/The-Indonesian-Australian-Partnership-on-Food-Security-Launches-News-Letter" TargetMode="External"/><Relationship Id="rId49" Type="http://schemas.openxmlformats.org/officeDocument/2006/relationships/hyperlink" Target="http://www.ampc.com.au/2013/08/Improved-Abattoir-Hygienic-Design" TargetMode="External"/><Relationship Id="rId114" Type="http://schemas.openxmlformats.org/officeDocument/2006/relationships/hyperlink" Target="http://www.ampc.com.au/news/31/104/Haverick-Meats-back-on-track-in-time-for-Christmas" TargetMode="External"/><Relationship Id="rId10" Type="http://schemas.openxmlformats.org/officeDocument/2006/relationships/hyperlink" Target="https://www.ecoefficiencygroup.com.au/wp-content/uploads/2017/11/ecomeat_manual.pdf" TargetMode="External"/><Relationship Id="rId31" Type="http://schemas.openxmlformats.org/officeDocument/2006/relationships/hyperlink" Target="http://www.ampc.com.au/2015/09/Environmental-Performance-Review-Red-Meat-Processing-Sector-2015" TargetMode="External"/><Relationship Id="rId44" Type="http://schemas.openxmlformats.org/officeDocument/2006/relationships/hyperlink" Target="http://www.ampc.com.au/2010/12/Economic-and-technical-potential-for-cogeneration-in-industry" TargetMode="External"/><Relationship Id="rId52" Type="http://schemas.openxmlformats.org/officeDocument/2006/relationships/hyperlink" Target="http://www.ampc.com.au/2013/02/Water-Saving-in-the-Routine-Cleaning-of-Carcase-Chillers" TargetMode="External"/><Relationship Id="rId60" Type="http://schemas.openxmlformats.org/officeDocument/2006/relationships/hyperlink" Target="http://www.ampc.com.au/2013/10/Water-saving-in-the-cleaning-of-carcase-chillers" TargetMode="External"/><Relationship Id="rId65" Type="http://schemas.openxmlformats.org/officeDocument/2006/relationships/hyperlink" Target="https://www.ecoefficiencygroup.com.au/wp-content/uploads/2017/11/ecomeat_manual.pdf" TargetMode="External"/><Relationship Id="rId73" Type="http://schemas.openxmlformats.org/officeDocument/2006/relationships/hyperlink" Target="https://www.ecoefficiencygroup.com.au/wp-content/uploads/2017/11/ecomeat_manual.pdf" TargetMode="External"/><Relationship Id="rId78" Type="http://schemas.openxmlformats.org/officeDocument/2006/relationships/hyperlink" Target="https://www.ecoefficiencygroup.com.au/wp-content/uploads/2017/11/ecomeat_manual.pdf" TargetMode="External"/><Relationship Id="rId81" Type="http://schemas.openxmlformats.org/officeDocument/2006/relationships/hyperlink" Target="https://www.ecoefficiencygroup.com.au/wp-content/uploads/2017/11/ecomeat_manual.pdf" TargetMode="External"/><Relationship Id="rId86" Type="http://schemas.openxmlformats.org/officeDocument/2006/relationships/hyperlink" Target="https://www.ecoefficiencygroup.com.au/wp-content/uploads/2017/11/ecomeat_manual.pdf" TargetMode="External"/><Relationship Id="rId94" Type="http://schemas.openxmlformats.org/officeDocument/2006/relationships/hyperlink" Target="https://www.sustainability.vic.gov.au/Business/Energy-efficiency-for-business/Business-energy-efficiency/Energy-efficiency-best-practice-guidelines" TargetMode="External"/><Relationship Id="rId99" Type="http://schemas.openxmlformats.org/officeDocument/2006/relationships/hyperlink" Target="https://www.ampc.com.au/2014/03/Extension-guide-Renewable-Energy-and-Energy-Storage-Technologies-Applicable-to-Red-Meat-Processing-Manufacturing-businesses" TargetMode="External"/><Relationship Id="rId101" Type="http://schemas.openxmlformats.org/officeDocument/2006/relationships/hyperlink" Target="https://www.ampc.com.au/2014/03/Extension-guide-Renewable-Energy-and-Energy-Storage-Technologies-Applicable-to-Red-Meat-Processing-Manufacturing-businesses" TargetMode="External"/><Relationship Id="rId4" Type="http://schemas.openxmlformats.org/officeDocument/2006/relationships/hyperlink" Target="https://www.ampc.com.au/2013/01/Reuse-of-water-in-Tripe-processing" TargetMode="External"/><Relationship Id="rId9" Type="http://schemas.openxmlformats.org/officeDocument/2006/relationships/hyperlink" Target="https://www.ecoefficiencygroup.com.au/wp-content/uploads/2017/11/ecomeat_manual.pdf" TargetMode="External"/><Relationship Id="rId13" Type="http://schemas.openxmlformats.org/officeDocument/2006/relationships/hyperlink" Target="https://www.ecoefficiencygroup.com.au/wp-content/uploads/2017/11/ecomeat_manual.pdf" TargetMode="External"/><Relationship Id="rId18" Type="http://schemas.openxmlformats.org/officeDocument/2006/relationships/hyperlink" Target="http://www.ampc.com.au/news/30/104/A-Year-in-Review-" TargetMode="External"/><Relationship Id="rId39" Type="http://schemas.openxmlformats.org/officeDocument/2006/relationships/hyperlink" Target="http://www.ampc.com.au/resources/school-resources/careers-2/careers-graphic-resources" TargetMode="External"/><Relationship Id="rId109" Type="http://schemas.openxmlformats.org/officeDocument/2006/relationships/hyperlink" Target="https://www.sustainability.vic.gov.au/-/media/SV/Publications/Business/Efficient-business-operations/Energy-efficiency-for-business/Energy-efficiency-best-practice-guidelines/SRSB-BPG-Heating-Manual-Mar-2015.pdf?la=en" TargetMode="External"/><Relationship Id="rId34" Type="http://schemas.openxmlformats.org/officeDocument/2006/relationships/hyperlink" Target="http://www.ampc.com.au/2006/11/Meat-Technology-Information-Sheet-Environmental-Control-in-the-Rendering-Industry" TargetMode="External"/><Relationship Id="rId50" Type="http://schemas.openxmlformats.org/officeDocument/2006/relationships/hyperlink" Target="http://www.ampc.com.au/2016/02/Beef-Spinal-Cord-Removal-Stage-2-Process-Risk-and-Benefits" TargetMode="External"/><Relationship Id="rId55" Type="http://schemas.openxmlformats.org/officeDocument/2006/relationships/hyperlink" Target="http://www.ampc.com.au/2010/07/Heat-Recovery-From-Refrigeration-Plant" TargetMode="External"/><Relationship Id="rId76" Type="http://schemas.openxmlformats.org/officeDocument/2006/relationships/hyperlink" Target="https://www.ecoefficiencygroup.com.au/wp-content/uploads/2017/11/ecomeat_manual.pdf" TargetMode="External"/><Relationship Id="rId97" Type="http://schemas.openxmlformats.org/officeDocument/2006/relationships/hyperlink" Target="https://www.ecoefficiencygroup.com.au/wp-content/uploads/2017/11/ecomeat_manual.pdf" TargetMode="External"/><Relationship Id="rId104" Type="http://schemas.openxmlformats.org/officeDocument/2006/relationships/hyperlink" Target="https://www.environment.nsw.gov.au/resources/business/IndustrialRefrigerationTechnologyReport.pdf" TargetMode="External"/><Relationship Id="rId7" Type="http://schemas.openxmlformats.org/officeDocument/2006/relationships/hyperlink" Target="http://www.ecoefficiency.com.au/Portals/56/factsheets/foodprocess/meat/ecomeat_manual.pdf" TargetMode="External"/><Relationship Id="rId71" Type="http://schemas.openxmlformats.org/officeDocument/2006/relationships/hyperlink" Target="https://www.ecoefficiencygroup.com.au/wp-content/uploads/2017/11/ecomeat_manual.pdf" TargetMode="External"/><Relationship Id="rId92" Type="http://schemas.openxmlformats.org/officeDocument/2006/relationships/hyperlink" Target="https://www.ampc.com.au/uploads/cgblog/id151/ENV_2010_Economic_&amp;_technical_potential_ENV.0102-final-report1.pdf" TargetMode="External"/><Relationship Id="rId2" Type="http://schemas.openxmlformats.org/officeDocument/2006/relationships/hyperlink" Target="https://www.ampc.com.au/uploads/pdf/Environment-Sustainability/2016-1002-Final-Report-Investigation-Into-Modular-Micro-Turbine-Cogenerators.pdf" TargetMode="External"/><Relationship Id="rId29" Type="http://schemas.openxmlformats.org/officeDocument/2006/relationships/hyperlink" Target="http://www.ampc.com.au/Novel-microbial-technologies-improved-treatment-industrial-wastewater" TargetMode="External"/><Relationship Id="rId24" Type="http://schemas.openxmlformats.org/officeDocument/2006/relationships/hyperlink" Target="http://www.ampc.com.au/2015/02/Cost-benefit-analysis-of-dewatering-abattoir-sludge-using-three-way-decanter" TargetMode="External"/><Relationship Id="rId40" Type="http://schemas.openxmlformats.org/officeDocument/2006/relationships/hyperlink" Target="http://www.ampc.com.au/resources/school-resources/meat-matters/meat-matters-graphic-resources" TargetMode="External"/><Relationship Id="rId45" Type="http://schemas.openxmlformats.org/officeDocument/2006/relationships/hyperlink" Target="http://www.ampc.com.au/resources/school-resources/aust-meat-processing/aust-meat-processing-graphic-resources" TargetMode="External"/><Relationship Id="rId66" Type="http://schemas.openxmlformats.org/officeDocument/2006/relationships/hyperlink" Target="https://www.ecoefficiencygroup.com.au/wp-content/uploads/2017/11/ecomeat_manual.pdf" TargetMode="External"/><Relationship Id="rId87" Type="http://schemas.openxmlformats.org/officeDocument/2006/relationships/hyperlink" Target="https://www.ecoefficiencygroup.com.au/wp-content/uploads/2017/11/ecomeat_manual.pdf" TargetMode="External"/><Relationship Id="rId110" Type="http://schemas.openxmlformats.org/officeDocument/2006/relationships/hyperlink" Target="https://www.ampc.com.au/uploads/cgblog/id28/Heat-Recovery-From-Refrigeration-Plant.pdf" TargetMode="External"/><Relationship Id="rId115" Type="http://schemas.openxmlformats.org/officeDocument/2006/relationships/printerSettings" Target="../printerSettings/printerSettings11.bin"/><Relationship Id="rId61" Type="http://schemas.openxmlformats.org/officeDocument/2006/relationships/hyperlink" Target="http://www.ampc.com.au/2014/12/Facilitation-of-the-Water-Energy-Efficiency-and-Food-Safety-Program" TargetMode="External"/><Relationship Id="rId82" Type="http://schemas.openxmlformats.org/officeDocument/2006/relationships/hyperlink" Target="https://www.ecoefficiencygroup.com.au/wp-content/uploads/2017/11/ecomeat_manual.pdf" TargetMode="External"/><Relationship Id="rId19" Type="http://schemas.openxmlformats.org/officeDocument/2006/relationships/hyperlink" Target="http://www.ampc.com.au/2012/11/Waste-Water-Management" TargetMode="External"/><Relationship Id="rId14" Type="http://schemas.openxmlformats.org/officeDocument/2006/relationships/hyperlink" Target="https://www.ecoefficiencygroup.com.au/wp-content/uploads/2017/11/ecomeat_manual.pdf" TargetMode="External"/><Relationship Id="rId30" Type="http://schemas.openxmlformats.org/officeDocument/2006/relationships/hyperlink" Target="http://www.ampc.com.au/2016/09/Year-78-Meat-Matters-We-All-Have-a-Steak-in-this" TargetMode="External"/><Relationship Id="rId35" Type="http://schemas.openxmlformats.org/officeDocument/2006/relationships/hyperlink" Target="http://www.ampc.com.au/2008/12/Waterless-Cleaning-of-Meat-Processing-Plants" TargetMode="External"/><Relationship Id="rId56" Type="http://schemas.openxmlformats.org/officeDocument/2006/relationships/hyperlink" Target="http://www.ampc.com.au/Optimising-integrated-water-reuse-and-waste-heat-recovery" TargetMode="External"/><Relationship Id="rId77" Type="http://schemas.openxmlformats.org/officeDocument/2006/relationships/hyperlink" Target="https://www.ecoefficiencygroup.com.au/wp-content/uploads/2017/11/ecomeat_manual.pdf" TargetMode="External"/><Relationship Id="rId100" Type="http://schemas.openxmlformats.org/officeDocument/2006/relationships/hyperlink" Target="https://www.ampc.com.au/2014/03/Extension-guide-Renewable-Energy-and-Energy-Storage-Technologies-Applicable-to-Red-Meat-Processing-Manufacturing-businesses" TargetMode="External"/><Relationship Id="rId105" Type="http://schemas.openxmlformats.org/officeDocument/2006/relationships/hyperlink" Target="https://www.environment.nsw.gov.au/resources/business/IndustrialRefrigerationTechnologyReport.pdf" TargetMode="External"/><Relationship Id="rId8" Type="http://schemas.openxmlformats.org/officeDocument/2006/relationships/hyperlink" Target="http://www.ecoefficiency.com.au/Portals/56/factsheets/foodprocess/meat/ecomeat_manual.pdf" TargetMode="External"/><Relationship Id="rId51" Type="http://schemas.openxmlformats.org/officeDocument/2006/relationships/hyperlink" Target="http://www.ampc.com.au/Water-collection-and-data-analysis" TargetMode="External"/><Relationship Id="rId72" Type="http://schemas.openxmlformats.org/officeDocument/2006/relationships/hyperlink" Target="https://www.ecoefficiencygroup.com.au/wp-content/uploads/2017/11/ecomeat_manual.pdf" TargetMode="External"/><Relationship Id="rId93" Type="http://schemas.openxmlformats.org/officeDocument/2006/relationships/hyperlink" Target="https://www.sustainability.vic.gov.au/Business/Efficient-business-operations/Energy-efficiency-for-business/Energy-efficiency-best-practice-guidelines" TargetMode="External"/><Relationship Id="rId98" Type="http://schemas.openxmlformats.org/officeDocument/2006/relationships/hyperlink" Target="https://www.ampc.com.au/2011/11/AMPC-Water-Efficiency-Projects" TargetMode="External"/><Relationship Id="rId3" Type="http://schemas.openxmlformats.org/officeDocument/2006/relationships/hyperlink" Target="https://www.ampc.com.au/2010/07/Heat-Recovery-From-Refrigeration-Plant" TargetMode="External"/><Relationship Id="rId25" Type="http://schemas.openxmlformats.org/officeDocument/2006/relationships/hyperlink" Target="http://www.ampc.com.au/2014/10/Australian-Red-Meat-Processor-Opportunities-for-Emissions-Reduction-Fund-Participation" TargetMode="External"/><Relationship Id="rId46" Type="http://schemas.openxmlformats.org/officeDocument/2006/relationships/hyperlink" Target="http://www.ampc.com.au/2012/06/Water-Reuse-in-the-Meat-Industry-Opportunities-and-Issues" TargetMode="External"/><Relationship Id="rId67" Type="http://schemas.openxmlformats.org/officeDocument/2006/relationships/hyperlink" Target="https://www.ecoefficiencygroup.com.au/wp-content/uploads/2017/11/ecomeat_manual.pdf" TargetMode="External"/><Relationship Id="rId116" Type="http://schemas.openxmlformats.org/officeDocument/2006/relationships/drawing" Target="../drawings/drawing9.xml"/><Relationship Id="rId20" Type="http://schemas.openxmlformats.org/officeDocument/2006/relationships/hyperlink" Target="http://www.ampc.com.au/2015/07/Efficient-lighting-options-and-review-of-lighting-standards-for-abattoirs" TargetMode="External"/><Relationship Id="rId41" Type="http://schemas.openxmlformats.org/officeDocument/2006/relationships/hyperlink" Target="http://www.ampc.com.au/2011/07/First-Waterless-Cleaning-Workshop-Summary" TargetMode="External"/><Relationship Id="rId62" Type="http://schemas.openxmlformats.org/officeDocument/2006/relationships/hyperlink" Target="http://www.ampc.com.au/Investigation-of-reuse-of-boning-room-effluent-streams" TargetMode="External"/><Relationship Id="rId83" Type="http://schemas.openxmlformats.org/officeDocument/2006/relationships/hyperlink" Target="https://www.ecoefficiencygroup.com.au/wp-content/uploads/2017/11/ecomeat_manual.pdf" TargetMode="External"/><Relationship Id="rId88" Type="http://schemas.openxmlformats.org/officeDocument/2006/relationships/hyperlink" Target="https://www.ecoefficiencygroup.com.au/wp-content/uploads/2017/11/ecomeat_manual.pdf" TargetMode="External"/><Relationship Id="rId111" Type="http://schemas.openxmlformats.org/officeDocument/2006/relationships/hyperlink" Target="https://rohanhamden.com.au/assets/1613-Floating-Solar-brochure-WEB.pdf" TargetMode="External"/><Relationship Id="rId15" Type="http://schemas.openxmlformats.org/officeDocument/2006/relationships/hyperlink" Target="https://www.ecoefficiencygroup.com.au/wp-content/uploads/2017/11/ecomeat_manual.pdf" TargetMode="External"/><Relationship Id="rId36" Type="http://schemas.openxmlformats.org/officeDocument/2006/relationships/hyperlink" Target="http://www.ampc.com.au/2012/07/Waste-Water-Management-Manual" TargetMode="External"/><Relationship Id="rId57" Type="http://schemas.openxmlformats.org/officeDocument/2006/relationships/hyperlink" Target="http://www.ampc.com.au/2011/11/AMPC-Water-Efficiency-Projects" TargetMode="External"/><Relationship Id="rId106" Type="http://schemas.openxmlformats.org/officeDocument/2006/relationships/hyperlink" Target="https://www.environment.nsw.gov.au/resources/business/IndustrialRefrigerationTechnologyReport.pdf" TargetMode="Externa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ampc.com.au/uploads/cgblog/id149/AN-ENERGY-MANAGEMENT-PLAN.pdf" TargetMode="External"/><Relationship Id="rId6" Type="http://schemas.openxmlformats.org/officeDocument/2006/relationships/ctrlProp" Target="../ctrlProps/ctrlProp1.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ampc.com.au/2015/05/Environmental-Performance-Review-Red-Meat-Processing-Sector-2015" TargetMode="Externa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40"/>
  <sheetViews>
    <sheetView showRowColHeaders="0" workbookViewId="0"/>
  </sheetViews>
  <sheetFormatPr defaultColWidth="0" defaultRowHeight="14.5" zeroHeight="1" x14ac:dyDescent="0.35"/>
  <cols>
    <col min="1" max="1" width="3.1796875" style="312" customWidth="1"/>
    <col min="2" max="2" width="3" style="388" customWidth="1"/>
    <col min="3" max="3" width="21" style="389" customWidth="1"/>
    <col min="4" max="4" width="113" style="312" customWidth="1"/>
    <col min="5" max="5" width="9.26953125" style="312" customWidth="1"/>
    <col min="6" max="16384" width="9.1796875" style="312" hidden="1"/>
  </cols>
  <sheetData>
    <row r="1" spans="2:4" ht="6.75" customHeight="1" x14ac:dyDescent="0.35"/>
    <row r="2" spans="2:4" ht="28.5" thickBot="1" x14ac:dyDescent="0.65">
      <c r="B2" s="390" t="s">
        <v>756</v>
      </c>
      <c r="C2" s="390"/>
      <c r="D2" s="384"/>
    </row>
    <row r="3" spans="2:4" ht="15" thickTop="1" x14ac:dyDescent="0.35"/>
    <row r="4" spans="2:4" ht="30" customHeight="1" x14ac:dyDescent="0.35">
      <c r="B4" s="567" t="s">
        <v>773</v>
      </c>
      <c r="C4" s="567"/>
      <c r="D4" s="567"/>
    </row>
    <row r="5" spans="2:4" x14ac:dyDescent="0.35">
      <c r="C5" s="391"/>
    </row>
    <row r="6" spans="2:4" ht="19.5" thickBot="1" x14ac:dyDescent="0.45">
      <c r="B6" s="392" t="s">
        <v>569</v>
      </c>
      <c r="C6" s="392"/>
      <c r="D6" s="383"/>
    </row>
    <row r="7" spans="2:4" ht="15.75" customHeight="1" thickTop="1" x14ac:dyDescent="0.35">
      <c r="B7" s="386" t="s">
        <v>774</v>
      </c>
      <c r="C7" s="393"/>
    </row>
    <row r="8" spans="2:4" x14ac:dyDescent="0.35">
      <c r="B8" s="394" t="s">
        <v>570</v>
      </c>
      <c r="C8" s="566" t="s">
        <v>775</v>
      </c>
      <c r="D8" s="566"/>
    </row>
    <row r="9" spans="2:4" ht="30" customHeight="1" x14ac:dyDescent="0.35">
      <c r="B9" s="394" t="s">
        <v>571</v>
      </c>
      <c r="C9" s="566" t="s">
        <v>776</v>
      </c>
      <c r="D9" s="566"/>
    </row>
    <row r="10" spans="2:4" ht="45" customHeight="1" x14ac:dyDescent="0.35">
      <c r="B10" s="394" t="s">
        <v>572</v>
      </c>
      <c r="C10" s="566" t="s">
        <v>777</v>
      </c>
      <c r="D10" s="566"/>
    </row>
    <row r="11" spans="2:4" ht="62.25" customHeight="1" x14ac:dyDescent="0.35">
      <c r="B11" s="394" t="s">
        <v>573</v>
      </c>
      <c r="C11" s="566" t="s">
        <v>778</v>
      </c>
      <c r="D11" s="566"/>
    </row>
    <row r="12" spans="2:4" ht="30" customHeight="1" x14ac:dyDescent="0.35">
      <c r="B12" s="394" t="s">
        <v>574</v>
      </c>
      <c r="C12" s="566" t="s">
        <v>779</v>
      </c>
      <c r="D12" s="566"/>
    </row>
    <row r="13" spans="2:4" ht="62.25" customHeight="1" x14ac:dyDescent="0.35">
      <c r="B13" s="394" t="s">
        <v>575</v>
      </c>
      <c r="C13" s="566" t="s">
        <v>780</v>
      </c>
      <c r="D13" s="566"/>
    </row>
    <row r="14" spans="2:4" ht="30" customHeight="1" x14ac:dyDescent="0.35">
      <c r="B14" s="394" t="s">
        <v>576</v>
      </c>
      <c r="C14" s="566" t="s">
        <v>781</v>
      </c>
      <c r="D14" s="566"/>
    </row>
    <row r="15" spans="2:4" ht="60" customHeight="1" x14ac:dyDescent="0.35">
      <c r="B15" s="394" t="s">
        <v>577</v>
      </c>
      <c r="C15" s="566" t="s">
        <v>782</v>
      </c>
      <c r="D15" s="566"/>
    </row>
    <row r="16" spans="2:4" ht="45" customHeight="1" x14ac:dyDescent="0.35">
      <c r="B16" s="394" t="s">
        <v>578</v>
      </c>
      <c r="C16" s="566" t="s">
        <v>783</v>
      </c>
      <c r="D16" s="566"/>
    </row>
    <row r="17" spans="2:6" x14ac:dyDescent="0.35"/>
    <row r="18" spans="2:6" ht="19.5" thickBot="1" x14ac:dyDescent="0.45">
      <c r="B18" s="392" t="s">
        <v>68</v>
      </c>
      <c r="C18" s="392"/>
      <c r="D18" s="383"/>
      <c r="F18" s="4"/>
    </row>
    <row r="19" spans="2:6" ht="15" thickTop="1" x14ac:dyDescent="0.35">
      <c r="B19" s="395"/>
      <c r="C19" s="395"/>
      <c r="D19" s="253"/>
      <c r="E19" s="140"/>
      <c r="F19" s="140"/>
    </row>
    <row r="20" spans="2:6" x14ac:dyDescent="0.35">
      <c r="B20" s="312" t="s">
        <v>784</v>
      </c>
      <c r="C20" s="312"/>
      <c r="D20" s="427"/>
      <c r="E20" s="253"/>
      <c r="F20" s="253"/>
    </row>
    <row r="21" spans="2:6" x14ac:dyDescent="0.35">
      <c r="B21" s="312" t="s">
        <v>539</v>
      </c>
      <c r="C21" s="312"/>
      <c r="D21" s="427"/>
      <c r="E21" s="253"/>
      <c r="F21" s="253"/>
    </row>
    <row r="22" spans="2:6" x14ac:dyDescent="0.35">
      <c r="B22" s="396" t="s">
        <v>755</v>
      </c>
      <c r="C22" s="395"/>
      <c r="D22" s="253"/>
      <c r="E22" s="253"/>
      <c r="F22" s="253"/>
    </row>
    <row r="23" spans="2:6" x14ac:dyDescent="0.35">
      <c r="B23" s="395"/>
      <c r="C23" s="395"/>
      <c r="D23" s="253"/>
      <c r="E23" s="253"/>
      <c r="F23" s="253"/>
    </row>
    <row r="24" spans="2:6" x14ac:dyDescent="0.35">
      <c r="B24" s="395"/>
      <c r="C24" s="397" t="s">
        <v>381</v>
      </c>
      <c r="D24" s="253"/>
      <c r="E24" s="140"/>
      <c r="F24" s="140"/>
    </row>
    <row r="25" spans="2:6" x14ac:dyDescent="0.35">
      <c r="B25" s="395"/>
      <c r="C25" s="395"/>
      <c r="D25" s="253"/>
      <c r="E25" s="140"/>
      <c r="F25" s="140"/>
    </row>
    <row r="26" spans="2:6" x14ac:dyDescent="0.35">
      <c r="B26" s="395"/>
      <c r="C26" s="398" t="s">
        <v>382</v>
      </c>
      <c r="D26" s="253"/>
      <c r="E26" s="253"/>
      <c r="F26" s="140"/>
    </row>
    <row r="27" spans="2:6" x14ac:dyDescent="0.35">
      <c r="B27" s="395"/>
      <c r="C27" s="395"/>
      <c r="D27" s="253"/>
      <c r="E27" s="253"/>
      <c r="F27" s="140"/>
    </row>
    <row r="28" spans="2:6" x14ac:dyDescent="0.35">
      <c r="B28" s="395"/>
      <c r="C28" s="399" t="s">
        <v>383</v>
      </c>
      <c r="D28" s="253"/>
      <c r="E28" s="253"/>
      <c r="F28" s="140"/>
    </row>
    <row r="29" spans="2:6" x14ac:dyDescent="0.35">
      <c r="B29" s="395"/>
      <c r="C29" s="395"/>
      <c r="D29" s="253"/>
      <c r="E29" s="253"/>
      <c r="F29" s="253"/>
    </row>
    <row r="30" spans="2:6" x14ac:dyDescent="0.35">
      <c r="B30" s="395"/>
      <c r="C30" s="467" t="s">
        <v>789</v>
      </c>
      <c r="D30" s="253"/>
      <c r="E30" s="148"/>
      <c r="F30" s="148"/>
    </row>
    <row r="31" spans="2:6" x14ac:dyDescent="0.35">
      <c r="B31" s="395"/>
      <c r="C31" s="395"/>
      <c r="D31" s="253"/>
      <c r="E31" s="253"/>
      <c r="F31" s="253"/>
    </row>
    <row r="32" spans="2:6" x14ac:dyDescent="0.35">
      <c r="B32" s="395"/>
      <c r="C32" s="395" t="s">
        <v>540</v>
      </c>
      <c r="D32" s="253"/>
      <c r="E32" s="253"/>
      <c r="F32" s="253"/>
    </row>
    <row r="33" spans="2:6" x14ac:dyDescent="0.35">
      <c r="B33" s="395"/>
      <c r="C33" s="395"/>
      <c r="D33" s="253"/>
      <c r="E33" s="253"/>
      <c r="F33" s="253"/>
    </row>
    <row r="34" spans="2:6" x14ac:dyDescent="0.35">
      <c r="B34" s="395"/>
      <c r="C34" s="400" t="s">
        <v>541</v>
      </c>
      <c r="D34" s="253"/>
      <c r="E34" s="148"/>
      <c r="F34" s="148"/>
    </row>
    <row r="35" spans="2:6" x14ac:dyDescent="0.35"/>
    <row r="36" spans="2:6" ht="19.5" thickBot="1" x14ac:dyDescent="0.45">
      <c r="B36" s="392" t="s">
        <v>754</v>
      </c>
      <c r="C36" s="392"/>
      <c r="D36" s="383"/>
      <c r="F36" s="253"/>
    </row>
    <row r="37" spans="2:6" ht="15" thickTop="1" x14ac:dyDescent="0.35"/>
    <row r="38" spans="2:6" ht="33.75" customHeight="1" x14ac:dyDescent="0.35">
      <c r="B38" s="566" t="s">
        <v>759</v>
      </c>
      <c r="C38" s="566"/>
      <c r="D38" s="566"/>
    </row>
    <row r="39" spans="2:6" ht="33.75" customHeight="1" x14ac:dyDescent="0.35">
      <c r="B39" s="566" t="s">
        <v>785</v>
      </c>
      <c r="C39" s="566"/>
      <c r="D39" s="566"/>
    </row>
    <row r="40" spans="2:6" x14ac:dyDescent="0.35"/>
  </sheetData>
  <sheetProtection password="8799" sheet="1" objects="1" scenarios="1" selectLockedCells="1" selectUnlockedCells="1"/>
  <mergeCells count="12">
    <mergeCell ref="B39:D39"/>
    <mergeCell ref="B4:D4"/>
    <mergeCell ref="B38:D38"/>
    <mergeCell ref="C15:D15"/>
    <mergeCell ref="C16:D16"/>
    <mergeCell ref="C10:D10"/>
    <mergeCell ref="C11:D11"/>
    <mergeCell ref="C12:D12"/>
    <mergeCell ref="C13:D13"/>
    <mergeCell ref="C14:D14"/>
    <mergeCell ref="C8:D8"/>
    <mergeCell ref="C9:D9"/>
  </mergeCells>
  <pageMargins left="0.70866141732283472" right="0.70866141732283472" top="0.74803149606299213" bottom="0.74803149606299213" header="0.31496062992125984" footer="0.31496062992125984"/>
  <pageSetup paperSize="9" orientation="landscape" r:id="rId1"/>
  <headerFooter>
    <oddHeader>&amp;R&amp;G</oddHeader>
    <oddFooter xml:space="preserve">&amp;L&amp;G&amp;C&amp;"Arial,Regular"&amp;8&amp;A&amp;R&amp;"Arial,Regular"&amp;7© Energetics Pty Ltd 2016&amp;8         Page &amp;P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P61"/>
  <sheetViews>
    <sheetView topLeftCell="A19" workbookViewId="0">
      <selection activeCell="E234" sqref="E234"/>
    </sheetView>
  </sheetViews>
  <sheetFormatPr defaultColWidth="9.1796875" defaultRowHeight="12.5" x14ac:dyDescent="0.25"/>
  <cols>
    <col min="1" max="2" width="9.1796875" style="156"/>
    <col min="3" max="3" width="11" style="156" customWidth="1"/>
    <col min="4" max="6" width="9.1796875" style="156"/>
    <col min="7" max="9" width="84.26953125" style="156" customWidth="1"/>
    <col min="10" max="16384" width="9.1796875" style="156"/>
  </cols>
  <sheetData>
    <row r="1" spans="1:16" ht="228" customHeight="1" thickBot="1" x14ac:dyDescent="0.45">
      <c r="B1" s="675" t="s">
        <v>481</v>
      </c>
      <c r="C1" s="675"/>
      <c r="D1" s="675"/>
      <c r="E1" s="675"/>
      <c r="F1" s="675"/>
      <c r="G1" s="248"/>
      <c r="H1" s="248"/>
      <c r="I1" s="248"/>
      <c r="J1" s="248"/>
      <c r="K1" s="248"/>
      <c r="L1" s="248"/>
      <c r="M1" s="248"/>
      <c r="N1" s="248"/>
      <c r="O1" s="248"/>
      <c r="P1" s="248"/>
    </row>
    <row r="2" spans="1:16" ht="13" thickTop="1" x14ac:dyDescent="0.25"/>
    <row r="3" spans="1:16" x14ac:dyDescent="0.25">
      <c r="B3" s="156" t="s">
        <v>86</v>
      </c>
    </row>
    <row r="5" spans="1:16" x14ac:dyDescent="0.25">
      <c r="B5" s="2" t="s">
        <v>455</v>
      </c>
    </row>
    <row r="6" spans="1:16" x14ac:dyDescent="0.25">
      <c r="B6" s="2" t="s">
        <v>456</v>
      </c>
    </row>
    <row r="7" spans="1:16" x14ac:dyDescent="0.25">
      <c r="B7" s="2"/>
    </row>
    <row r="10" spans="1:16" ht="13" x14ac:dyDescent="0.3">
      <c r="A10" s="177" t="str">
        <f>B5</f>
        <v>1) Using industry experience, establish a performance pyramid to categorise performance improvement opportunities</v>
      </c>
    </row>
    <row r="39" spans="1:12" ht="13" x14ac:dyDescent="0.3">
      <c r="A39" s="177" t="str">
        <f>B6</f>
        <v>2) Categorise pyramid steps into performance bands and provide descriptions of performance improvement opportunities and next actions</v>
      </c>
    </row>
    <row r="42" spans="1:12" x14ac:dyDescent="0.25">
      <c r="C42" s="729" t="s">
        <v>364</v>
      </c>
      <c r="D42" s="729"/>
      <c r="E42" s="729"/>
      <c r="F42" s="729"/>
      <c r="G42" s="127"/>
      <c r="H42" s="127"/>
      <c r="I42" s="127"/>
      <c r="J42" s="127"/>
      <c r="K42" s="127"/>
      <c r="L42" s="127"/>
    </row>
    <row r="43" spans="1:12" x14ac:dyDescent="0.25">
      <c r="C43" s="124"/>
      <c r="D43" s="124"/>
      <c r="E43" s="124"/>
      <c r="F43" s="124"/>
      <c r="G43" s="124"/>
      <c r="H43" s="124"/>
      <c r="I43" s="124"/>
      <c r="J43" s="124"/>
      <c r="K43" s="124"/>
      <c r="L43" s="124"/>
    </row>
    <row r="44" spans="1:12" x14ac:dyDescent="0.25">
      <c r="C44" s="124"/>
      <c r="D44" s="124"/>
      <c r="E44" s="124"/>
      <c r="F44" s="124"/>
      <c r="G44" s="124"/>
      <c r="H44" s="124"/>
      <c r="I44" s="124"/>
      <c r="J44" s="124"/>
      <c r="K44" s="124"/>
      <c r="L44" s="124"/>
    </row>
    <row r="45" spans="1:12" x14ac:dyDescent="0.25">
      <c r="C45" s="124"/>
      <c r="D45" s="124"/>
      <c r="E45" s="124"/>
      <c r="F45" s="124"/>
      <c r="G45" s="124"/>
      <c r="H45" s="124"/>
      <c r="I45" s="124"/>
      <c r="J45" s="124"/>
      <c r="K45" s="124"/>
      <c r="L45" s="124"/>
    </row>
    <row r="46" spans="1:12" x14ac:dyDescent="0.25">
      <c r="C46" s="124"/>
      <c r="D46" s="124"/>
      <c r="E46" s="124"/>
      <c r="F46" s="124"/>
      <c r="G46" s="124"/>
      <c r="H46" s="124"/>
      <c r="I46" s="124"/>
      <c r="J46" s="124"/>
      <c r="K46" s="124"/>
      <c r="L46" s="124"/>
    </row>
    <row r="47" spans="1:12" ht="54" customHeight="1" x14ac:dyDescent="0.25">
      <c r="C47" s="728" t="s">
        <v>365</v>
      </c>
      <c r="D47" s="725" t="s">
        <v>366</v>
      </c>
      <c r="E47" s="726"/>
      <c r="F47" s="727"/>
      <c r="G47" s="725" t="s">
        <v>520</v>
      </c>
      <c r="H47" s="726"/>
      <c r="I47" s="726"/>
      <c r="J47" s="11"/>
      <c r="K47" s="11"/>
      <c r="L47" s="11"/>
    </row>
    <row r="48" spans="1:12" x14ac:dyDescent="0.25">
      <c r="C48" s="701"/>
      <c r="D48" s="104" t="str">
        <f t="array" ref="D48:F48">TRANSPOSE(Performance_Descriptor_List)</f>
        <v>Good</v>
      </c>
      <c r="E48" s="104" t="str">
        <v>Fair</v>
      </c>
      <c r="F48" s="104" t="str">
        <v>Poor</v>
      </c>
      <c r="G48" s="104" t="s">
        <v>84</v>
      </c>
      <c r="H48" s="104" t="s">
        <v>85</v>
      </c>
      <c r="I48" s="247" t="s">
        <v>67</v>
      </c>
      <c r="J48" s="257"/>
      <c r="K48" s="257"/>
      <c r="L48" s="257"/>
    </row>
    <row r="49" spans="3:12" s="249" customFormat="1" ht="100" x14ac:dyDescent="0.25">
      <c r="C49" s="258" t="s">
        <v>372</v>
      </c>
      <c r="D49" s="105" t="b">
        <v>0</v>
      </c>
      <c r="E49" s="105" t="b">
        <v>0</v>
      </c>
      <c r="F49" s="105" t="b">
        <v>1</v>
      </c>
      <c r="G49" s="313" t="s">
        <v>590</v>
      </c>
      <c r="H49" s="313" t="s">
        <v>590</v>
      </c>
      <c r="I49" s="259" t="s">
        <v>591</v>
      </c>
      <c r="J49" s="11"/>
      <c r="K49" s="11"/>
      <c r="L49" s="11"/>
    </row>
    <row r="50" spans="3:12" s="249" customFormat="1" ht="50" x14ac:dyDescent="0.25">
      <c r="C50" s="258" t="s">
        <v>538</v>
      </c>
      <c r="D50" s="105" t="b">
        <v>0</v>
      </c>
      <c r="E50" s="105" t="b">
        <v>1</v>
      </c>
      <c r="F50" s="105" t="b">
        <v>0</v>
      </c>
      <c r="G50" s="313" t="s">
        <v>586</v>
      </c>
      <c r="H50" s="313" t="s">
        <v>592</v>
      </c>
      <c r="I50" s="259" t="s">
        <v>593</v>
      </c>
      <c r="J50" s="11"/>
      <c r="K50" s="11"/>
      <c r="L50" s="11"/>
    </row>
    <row r="51" spans="3:12" s="249" customFormat="1" ht="50" x14ac:dyDescent="0.25">
      <c r="C51" s="258" t="s">
        <v>361</v>
      </c>
      <c r="D51" s="105" t="b">
        <v>0</v>
      </c>
      <c r="E51" s="105" t="b">
        <v>1</v>
      </c>
      <c r="F51" s="105" t="b">
        <v>0</v>
      </c>
      <c r="G51" s="314" t="s">
        <v>594</v>
      </c>
      <c r="H51" s="314" t="s">
        <v>595</v>
      </c>
      <c r="I51" s="315" t="s">
        <v>596</v>
      </c>
      <c r="J51" s="11"/>
      <c r="K51" s="11"/>
      <c r="L51" s="11"/>
    </row>
    <row r="52" spans="3:12" s="249" customFormat="1" ht="87.5" x14ac:dyDescent="0.25">
      <c r="C52" s="258" t="s">
        <v>362</v>
      </c>
      <c r="D52" s="105" t="b">
        <v>1</v>
      </c>
      <c r="E52" s="105" t="b">
        <v>0</v>
      </c>
      <c r="F52" s="105" t="b">
        <v>0</v>
      </c>
      <c r="G52" s="314" t="s">
        <v>603</v>
      </c>
      <c r="H52" s="314" t="s">
        <v>603</v>
      </c>
      <c r="I52" s="315" t="s">
        <v>604</v>
      </c>
      <c r="J52" s="11"/>
      <c r="K52" s="11"/>
      <c r="L52" s="11"/>
    </row>
    <row r="53" spans="3:12" s="249" customFormat="1" ht="62.5" x14ac:dyDescent="0.25">
      <c r="C53" s="258" t="s">
        <v>363</v>
      </c>
      <c r="D53" s="105" t="b">
        <v>1</v>
      </c>
      <c r="E53" s="105" t="b">
        <v>0</v>
      </c>
      <c r="F53" s="105" t="b">
        <v>0</v>
      </c>
      <c r="G53" s="314" t="s">
        <v>597</v>
      </c>
      <c r="H53" s="314" t="s">
        <v>598</v>
      </c>
      <c r="I53" s="315" t="s">
        <v>587</v>
      </c>
      <c r="J53" s="11"/>
      <c r="K53" s="11"/>
      <c r="L53" s="11"/>
    </row>
    <row r="54" spans="3:12" x14ac:dyDescent="0.25">
      <c r="C54" s="124"/>
      <c r="D54" s="124"/>
      <c r="E54" s="124"/>
      <c r="F54" s="124"/>
      <c r="G54" s="124"/>
      <c r="H54" s="124"/>
      <c r="I54" s="124"/>
      <c r="J54" s="124"/>
      <c r="K54" s="124"/>
      <c r="L54" s="124"/>
    </row>
    <row r="55" spans="3:12" x14ac:dyDescent="0.25">
      <c r="C55" s="124" t="s">
        <v>369</v>
      </c>
      <c r="D55" s="124">
        <f>MATCH(TRUE,D49:D53,0)-1</f>
        <v>3</v>
      </c>
      <c r="E55" s="124">
        <f>MATCH(TRUE,E49:E53,0)-1</f>
        <v>1</v>
      </c>
      <c r="F55" s="124">
        <f>MATCH(TRUE,F49:F53,0)-1</f>
        <v>0</v>
      </c>
      <c r="G55" s="124"/>
      <c r="H55" s="124"/>
      <c r="I55" s="124"/>
      <c r="J55" s="124"/>
      <c r="K55" s="124"/>
      <c r="L55" s="124"/>
    </row>
    <row r="56" spans="3:12" x14ac:dyDescent="0.25">
      <c r="C56" s="124" t="s">
        <v>370</v>
      </c>
      <c r="D56" s="124">
        <f>COUNTIF(D49:D53,TRUE)</f>
        <v>2</v>
      </c>
      <c r="E56" s="124">
        <f>COUNTIF(E49:E53,TRUE)</f>
        <v>2</v>
      </c>
      <c r="F56" s="124">
        <f>COUNTIF(F49:F53,TRUE)</f>
        <v>1</v>
      </c>
      <c r="G56" s="124"/>
      <c r="H56" s="124"/>
      <c r="I56" s="124"/>
      <c r="J56" s="124"/>
      <c r="K56" s="124"/>
      <c r="L56" s="124"/>
    </row>
    <row r="57" spans="3:12" x14ac:dyDescent="0.25">
      <c r="C57" s="124" t="s">
        <v>371</v>
      </c>
      <c r="D57" s="124">
        <f>COUNTA(Opportunity_Category)-D55-D56</f>
        <v>0</v>
      </c>
      <c r="E57" s="124">
        <f>COUNTA(Opportunity_Category)-E55-E56</f>
        <v>2</v>
      </c>
      <c r="F57" s="124">
        <f>COUNTA(Opportunity_Category)-F55-F56</f>
        <v>4</v>
      </c>
      <c r="G57" s="124"/>
      <c r="H57" s="124"/>
      <c r="I57" s="124"/>
      <c r="J57" s="124"/>
      <c r="K57" s="124"/>
      <c r="L57" s="124"/>
    </row>
    <row r="58" spans="3:12" x14ac:dyDescent="0.25">
      <c r="C58" s="124"/>
      <c r="D58" s="125"/>
      <c r="E58" s="125"/>
      <c r="F58" s="125"/>
      <c r="G58" s="124"/>
      <c r="H58" s="124"/>
      <c r="I58" s="124"/>
      <c r="J58" s="124"/>
      <c r="K58" s="124"/>
      <c r="L58" s="124"/>
    </row>
    <row r="59" spans="3:12" ht="37.5" x14ac:dyDescent="0.25">
      <c r="C59" s="124"/>
      <c r="D59" s="125" t="str">
        <f>INDEX(Opportunity_Category,D55+1)</f>
        <v>Assess cogeneration</v>
      </c>
      <c r="E59" s="125" t="str">
        <f>INDEX(Opportunity_Category,E55+1)</f>
        <v>Install efficient equipment</v>
      </c>
      <c r="F59" s="125" t="str">
        <f>INDEX(Opportunity_Category,F55+1)</f>
        <v>Improve housekeeping</v>
      </c>
      <c r="G59" s="124"/>
      <c r="H59" s="124"/>
      <c r="I59" s="125" t="str">
        <f>IF('Performance Pyramid'!D$56&gt;(ROW(I59)-ROW('Performance Pyramid'!$D$59)),INDEX(Opportunity_Category,'Performance Pyramid'!D$55+1+ROW(I59)-ROW('Performance Pyramid'!$D$59)),"")</f>
        <v>Assess cogeneration</v>
      </c>
      <c r="J59" s="125" t="str">
        <f>IF('Performance Pyramid'!E$56&gt;(ROW(J59)-ROW('Performance Pyramid'!$D$59)),INDEX(Opportunity_Category,'Performance Pyramid'!E$55+1+ROW(J59)-ROW('Performance Pyramid'!$D$59)),"")</f>
        <v>Install efficient equipment</v>
      </c>
      <c r="K59" s="125" t="str">
        <f>IF('Performance Pyramid'!F$56&gt;(ROW(K59)-ROW('Performance Pyramid'!$D$59)),INDEX(Opportunity_Category,'Performance Pyramid'!F$55+1+ROW(K59)-ROW('Performance Pyramid'!$D$59)),"")</f>
        <v>Improve housekeeping</v>
      </c>
      <c r="L59" s="124"/>
    </row>
    <row r="60" spans="3:12" ht="50" x14ac:dyDescent="0.25">
      <c r="C60" s="124"/>
      <c r="D60" s="125" t="str">
        <f>IF(D$56&gt;(ROW(D60)-ROW($D$59)),INDEX(Opportunity_Category,D$55+1+ROW(D60)-ROW($D$59)),"")</f>
        <v>Assess renewables</v>
      </c>
      <c r="E60" s="125" t="str">
        <f>IF(E$56&gt;(ROW(E60)-ROW($D$59)),INDEX(Opportunity_Category,E$55+1+ROW(E60)-ROW($D$59)),"")</f>
        <v>Improve process technology</v>
      </c>
      <c r="F60" s="125" t="str">
        <f>IF(F$56&gt;(ROW(F60)-ROW($D$59)),INDEX(Opportunity_Category,F$55+1+ROW(F60)-ROW($D$59)),"")</f>
        <v/>
      </c>
      <c r="G60" s="124"/>
      <c r="H60" s="124"/>
      <c r="I60" s="125" t="str">
        <f>IF('Performance Pyramid'!D$56&gt;(ROW(I60)-ROW('Performance Pyramid'!$D$59)),INDEX(Opportunity_Category,'Performance Pyramid'!D$55+1+ROW(I60)-ROW('Performance Pyramid'!$D$59)),"")</f>
        <v>Assess renewables</v>
      </c>
      <c r="J60" s="125" t="str">
        <f>IF('Performance Pyramid'!E$56&gt;(ROW(J60)-ROW('Performance Pyramid'!$D$59)),INDEX(Opportunity_Category,'Performance Pyramid'!E$55+1+ROW(J60)-ROW('Performance Pyramid'!$D$59)),"")</f>
        <v>Improve process technology</v>
      </c>
      <c r="K60" s="125" t="str">
        <f>IF('Performance Pyramid'!F$56&gt;(ROW(K60)-ROW('Performance Pyramid'!$D$59)),INDEX(Opportunity_Category,'Performance Pyramid'!F$55+1+ROW(K60)-ROW('Performance Pyramid'!$D$59)),"")</f>
        <v/>
      </c>
      <c r="L60" s="124"/>
    </row>
    <row r="61" spans="3:12" x14ac:dyDescent="0.25">
      <c r="I61" s="125" t="str">
        <f>IF('Performance Pyramid'!D$56&gt;(ROW(I61)-ROW('Performance Pyramid'!$D$59)),INDEX(Opportunity_Category,'Performance Pyramid'!D$55+1+ROW(I61)-ROW('Performance Pyramid'!$D$59)),"")</f>
        <v/>
      </c>
      <c r="J61" s="125" t="str">
        <f>IF('Performance Pyramid'!E$56&gt;(ROW(J61)-ROW('Performance Pyramid'!$D$59)),INDEX(Opportunity_Category,'Performance Pyramid'!E$55+1+ROW(J61)-ROW('Performance Pyramid'!$D$59)),"")</f>
        <v/>
      </c>
      <c r="K61" s="125" t="str">
        <f>IF('Performance Pyramid'!F$56&gt;(ROW(K61)-ROW('Performance Pyramid'!$D$59)),INDEX(Opportunity_Category,'Performance Pyramid'!F$55+1+ROW(K61)-ROW('Performance Pyramid'!$D$59)),"")</f>
        <v/>
      </c>
    </row>
  </sheetData>
  <sheetProtection password="8799" sheet="1" objects="1" scenarios="1" selectLockedCells="1"/>
  <mergeCells count="5">
    <mergeCell ref="D47:F47"/>
    <mergeCell ref="C47:C48"/>
    <mergeCell ref="C42:F42"/>
    <mergeCell ref="G47:I47"/>
    <mergeCell ref="B1:F1"/>
  </mergeCells>
  <conditionalFormatting sqref="D49:F53 J49:L53">
    <cfRule type="cellIs" dxfId="17" priority="2" operator="equal">
      <formula>TRUE</formula>
    </cfRule>
  </conditionalFormatting>
  <conditionalFormatting sqref="G49:I53">
    <cfRule type="cellIs" dxfId="16" priority="1" operator="equal">
      <formula>TRUE</formula>
    </cfRule>
  </conditionalFormatting>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filterMode="1"/>
  <dimension ref="A1:BD107"/>
  <sheetViews>
    <sheetView topLeftCell="A17" workbookViewId="0">
      <pane xSplit="2" ySplit="6" topLeftCell="AK73" activePane="bottomRight" state="frozen"/>
      <selection activeCell="E234" sqref="E234"/>
      <selection pane="topRight" activeCell="E234" sqref="E234"/>
      <selection pane="bottomLeft" activeCell="E234" sqref="E234"/>
      <selection pane="bottomRight" activeCell="E234" sqref="E234"/>
    </sheetView>
  </sheetViews>
  <sheetFormatPr defaultColWidth="9.1796875" defaultRowHeight="12.5" x14ac:dyDescent="0.25"/>
  <cols>
    <col min="1" max="1" width="30.26953125" style="122" customWidth="1"/>
    <col min="2" max="2" width="68.81640625" style="4" customWidth="1"/>
    <col min="3" max="8" width="18.54296875" style="4" customWidth="1"/>
    <col min="9" max="12" width="18.54296875" style="124" customWidth="1"/>
    <col min="13" max="16" width="18.54296875" style="4" customWidth="1"/>
    <col min="17" max="27" width="18.54296875" style="203" customWidth="1"/>
    <col min="28" max="32" width="18.54296875" style="253" customWidth="1"/>
    <col min="33" max="33" width="18.54296875" style="4" customWidth="1"/>
    <col min="34" max="36" width="18.54296875" style="203" customWidth="1"/>
    <col min="37" max="37" width="18.54296875" style="253" customWidth="1"/>
    <col min="38" max="43" width="18.54296875" style="203" customWidth="1"/>
    <col min="44" max="46" width="18.54296875" style="544" customWidth="1"/>
    <col min="47" max="47" width="18.54296875" style="203" customWidth="1"/>
    <col min="48" max="48" width="18.54296875" style="253" customWidth="1"/>
    <col min="49" max="50" width="18.54296875" style="4" customWidth="1"/>
    <col min="51" max="51" width="150.54296875" style="4" customWidth="1"/>
    <col min="52" max="16384" width="9.1796875" style="4"/>
  </cols>
  <sheetData>
    <row r="1" spans="1:48" s="203" customFormat="1" x14ac:dyDescent="0.25">
      <c r="AB1" s="253"/>
      <c r="AC1" s="253"/>
      <c r="AD1" s="253"/>
      <c r="AE1" s="253"/>
      <c r="AF1" s="253"/>
      <c r="AK1" s="253"/>
      <c r="AR1" s="544"/>
      <c r="AS1" s="544"/>
      <c r="AT1" s="544"/>
      <c r="AV1" s="253"/>
    </row>
    <row r="2" spans="1:48" s="203" customFormat="1" ht="61.5" customHeight="1" thickBot="1" x14ac:dyDescent="0.45">
      <c r="B2" s="675" t="s">
        <v>529</v>
      </c>
      <c r="C2" s="675"/>
      <c r="D2" s="675"/>
      <c r="E2" s="675"/>
      <c r="F2" s="675"/>
      <c r="G2" s="675"/>
      <c r="H2" s="675"/>
      <c r="AB2" s="253"/>
      <c r="AC2" s="253"/>
      <c r="AD2" s="253"/>
      <c r="AE2" s="253"/>
      <c r="AF2" s="253"/>
      <c r="AK2" s="253"/>
      <c r="AR2" s="544"/>
      <c r="AS2" s="544"/>
      <c r="AT2" s="544"/>
      <c r="AV2" s="253"/>
    </row>
    <row r="3" spans="1:48" s="203" customFormat="1" ht="13" thickTop="1" x14ac:dyDescent="0.25">
      <c r="AB3" s="253"/>
      <c r="AC3" s="253"/>
      <c r="AD3" s="253"/>
      <c r="AE3" s="253"/>
      <c r="AF3" s="253"/>
      <c r="AK3" s="253"/>
      <c r="AR3" s="544"/>
      <c r="AS3" s="544"/>
      <c r="AT3" s="544"/>
      <c r="AV3" s="253"/>
    </row>
    <row r="4" spans="1:48" s="203" customFormat="1" x14ac:dyDescent="0.25">
      <c r="B4" s="203" t="s">
        <v>86</v>
      </c>
      <c r="AB4" s="253"/>
      <c r="AC4" s="253"/>
      <c r="AD4" s="253"/>
      <c r="AE4" s="253"/>
      <c r="AF4" s="253"/>
      <c r="AK4" s="253"/>
      <c r="AR4" s="544"/>
      <c r="AS4" s="544"/>
      <c r="AT4" s="544"/>
      <c r="AV4" s="253"/>
    </row>
    <row r="5" spans="1:48" s="203" customFormat="1" x14ac:dyDescent="0.25">
      <c r="AB5" s="253"/>
      <c r="AC5" s="253"/>
      <c r="AD5" s="253"/>
      <c r="AE5" s="253"/>
      <c r="AF5" s="253"/>
      <c r="AK5" s="253"/>
      <c r="AR5" s="544"/>
      <c r="AS5" s="544"/>
      <c r="AT5" s="544"/>
      <c r="AV5" s="253"/>
    </row>
    <row r="6" spans="1:48" s="203" customFormat="1" x14ac:dyDescent="0.25">
      <c r="B6" s="203" t="s">
        <v>482</v>
      </c>
      <c r="F6" s="253"/>
      <c r="G6" s="253"/>
      <c r="H6" s="253"/>
      <c r="I6" s="253"/>
      <c r="J6" s="253"/>
      <c r="K6" s="253"/>
      <c r="L6" s="253"/>
      <c r="M6" s="253"/>
      <c r="AB6" s="253"/>
      <c r="AC6" s="253"/>
      <c r="AD6" s="253"/>
      <c r="AE6" s="253"/>
      <c r="AF6" s="253"/>
      <c r="AK6" s="253"/>
      <c r="AR6" s="544"/>
      <c r="AS6" s="544"/>
      <c r="AT6" s="544"/>
      <c r="AV6" s="253"/>
    </row>
    <row r="7" spans="1:48" s="203" customFormat="1" x14ac:dyDescent="0.25">
      <c r="B7" s="203" t="s">
        <v>483</v>
      </c>
      <c r="F7" s="253"/>
      <c r="G7" s="253"/>
      <c r="H7" s="253"/>
      <c r="I7" s="253"/>
      <c r="J7" s="253"/>
      <c r="K7" s="253"/>
      <c r="L7" s="253"/>
      <c r="M7" s="253"/>
      <c r="AB7" s="253"/>
      <c r="AC7" s="253"/>
      <c r="AD7" s="253"/>
      <c r="AE7" s="253"/>
      <c r="AF7" s="253"/>
      <c r="AK7" s="253"/>
      <c r="AR7" s="544"/>
      <c r="AS7" s="544"/>
      <c r="AT7" s="544"/>
      <c r="AV7" s="253"/>
    </row>
    <row r="8" spans="1:48" s="124" customFormat="1" x14ac:dyDescent="0.25">
      <c r="B8" s="203" t="s">
        <v>518</v>
      </c>
      <c r="F8" s="253"/>
      <c r="G8" s="253"/>
      <c r="H8" s="253"/>
      <c r="I8" s="253"/>
      <c r="J8" s="253"/>
      <c r="K8" s="253"/>
      <c r="L8" s="253"/>
      <c r="M8" s="253"/>
      <c r="R8" s="203"/>
      <c r="S8" s="203"/>
      <c r="T8" s="203"/>
      <c r="U8" s="203"/>
      <c r="V8" s="203"/>
      <c r="W8" s="203"/>
      <c r="X8" s="203"/>
      <c r="Y8" s="203"/>
      <c r="Z8" s="203"/>
      <c r="AA8" s="203"/>
      <c r="AB8" s="253"/>
      <c r="AC8" s="253"/>
      <c r="AD8" s="253"/>
      <c r="AE8" s="253"/>
      <c r="AF8" s="253"/>
      <c r="AG8" s="203"/>
      <c r="AH8" s="203"/>
      <c r="AI8" s="203"/>
      <c r="AJ8" s="203"/>
      <c r="AK8" s="253"/>
      <c r="AL8" s="203"/>
      <c r="AN8" s="203"/>
      <c r="AO8" s="203"/>
      <c r="AP8" s="203"/>
      <c r="AQ8" s="203"/>
      <c r="AR8" s="544"/>
      <c r="AS8" s="544"/>
      <c r="AT8" s="544"/>
      <c r="AU8" s="203"/>
      <c r="AV8" s="253"/>
    </row>
    <row r="9" spans="1:48" s="124" customFormat="1" x14ac:dyDescent="0.25">
      <c r="B9" s="203" t="s">
        <v>484</v>
      </c>
      <c r="F9" s="253"/>
      <c r="G9" s="253"/>
      <c r="H9" s="253"/>
      <c r="I9" s="253"/>
      <c r="J9" s="253"/>
      <c r="K9" s="253"/>
      <c r="L9" s="253"/>
      <c r="M9" s="253"/>
      <c r="R9" s="203"/>
      <c r="S9" s="203"/>
      <c r="T9" s="203"/>
      <c r="U9" s="203"/>
      <c r="V9" s="203"/>
      <c r="W9" s="203"/>
      <c r="X9" s="203"/>
      <c r="Y9" s="203"/>
      <c r="Z9" s="203"/>
      <c r="AA9" s="203"/>
      <c r="AB9" s="253"/>
      <c r="AC9" s="253"/>
      <c r="AD9" s="253"/>
      <c r="AE9" s="253"/>
      <c r="AF9" s="253"/>
      <c r="AG9" s="203"/>
      <c r="AH9" s="203"/>
      <c r="AI9" s="203"/>
      <c r="AJ9" s="203"/>
      <c r="AK9" s="253"/>
      <c r="AL9" s="203"/>
      <c r="AN9" s="203"/>
      <c r="AO9" s="203"/>
      <c r="AP9" s="203"/>
      <c r="AQ9" s="203"/>
      <c r="AR9" s="544"/>
      <c r="AS9" s="544"/>
      <c r="AT9" s="544"/>
      <c r="AU9" s="203"/>
      <c r="AV9" s="253"/>
    </row>
    <row r="10" spans="1:48" s="124" customFormat="1" x14ac:dyDescent="0.25">
      <c r="B10" s="203" t="s">
        <v>553</v>
      </c>
      <c r="F10" s="253"/>
      <c r="G10" s="253"/>
      <c r="H10" s="253"/>
      <c r="I10" s="253"/>
      <c r="J10" s="253"/>
      <c r="K10" s="253"/>
      <c r="L10" s="253"/>
      <c r="M10" s="253"/>
      <c r="R10" s="203"/>
      <c r="S10" s="203"/>
      <c r="T10" s="203"/>
      <c r="U10" s="203"/>
      <c r="V10" s="203"/>
      <c r="W10" s="203"/>
      <c r="X10" s="203"/>
      <c r="Y10" s="203"/>
      <c r="Z10" s="203"/>
      <c r="AA10" s="203"/>
      <c r="AB10" s="253"/>
      <c r="AC10" s="253"/>
      <c r="AD10" s="253"/>
      <c r="AE10" s="253"/>
      <c r="AF10" s="253"/>
      <c r="AG10" s="203"/>
      <c r="AH10" s="203"/>
      <c r="AI10" s="203"/>
      <c r="AJ10" s="203"/>
      <c r="AK10" s="253"/>
      <c r="AL10" s="203"/>
      <c r="AN10" s="203"/>
      <c r="AO10" s="203"/>
      <c r="AP10" s="203"/>
      <c r="AQ10" s="203"/>
      <c r="AR10" s="544"/>
      <c r="AS10" s="544"/>
      <c r="AT10" s="544"/>
      <c r="AU10" s="203"/>
      <c r="AV10" s="253"/>
    </row>
    <row r="11" spans="1:48" s="124" customFormat="1" x14ac:dyDescent="0.25">
      <c r="B11" s="203" t="s">
        <v>485</v>
      </c>
      <c r="R11" s="203"/>
      <c r="S11" s="203"/>
      <c r="T11" s="203"/>
      <c r="U11" s="203"/>
      <c r="V11" s="203"/>
      <c r="W11" s="203"/>
      <c r="X11" s="203"/>
      <c r="Y11" s="203"/>
      <c r="Z11" s="203"/>
      <c r="AA11" s="203"/>
      <c r="AB11" s="253"/>
      <c r="AC11" s="253"/>
      <c r="AD11" s="253"/>
      <c r="AE11" s="253"/>
      <c r="AF11" s="253"/>
      <c r="AG11" s="203"/>
      <c r="AH11" s="203"/>
      <c r="AI11" s="203"/>
      <c r="AJ11" s="203"/>
      <c r="AK11" s="253"/>
      <c r="AL11" s="203"/>
      <c r="AN11" s="203"/>
      <c r="AO11" s="203"/>
      <c r="AP11" s="203"/>
      <c r="AQ11" s="203"/>
      <c r="AR11" s="544"/>
      <c r="AS11" s="544"/>
      <c r="AT11" s="544"/>
      <c r="AU11" s="203"/>
      <c r="AV11" s="253"/>
    </row>
    <row r="12" spans="1:48" s="124" customFormat="1" x14ac:dyDescent="0.25">
      <c r="B12" s="203" t="s">
        <v>486</v>
      </c>
      <c r="R12" s="203"/>
      <c r="S12" s="203"/>
      <c r="T12" s="203"/>
      <c r="U12" s="203"/>
      <c r="V12" s="203"/>
      <c r="W12" s="203"/>
      <c r="X12" s="203"/>
      <c r="Y12" s="203"/>
      <c r="Z12" s="203"/>
      <c r="AA12" s="203"/>
      <c r="AB12" s="253"/>
      <c r="AC12" s="253"/>
      <c r="AD12" s="253"/>
      <c r="AE12" s="253"/>
      <c r="AF12" s="253"/>
      <c r="AG12" s="203"/>
      <c r="AH12" s="203"/>
      <c r="AI12" s="203"/>
      <c r="AJ12" s="203"/>
      <c r="AK12" s="253"/>
      <c r="AL12" s="203"/>
      <c r="AN12" s="203"/>
      <c r="AO12" s="203"/>
      <c r="AP12" s="203"/>
      <c r="AQ12" s="203"/>
      <c r="AR12" s="544"/>
      <c r="AS12" s="544"/>
      <c r="AT12" s="544"/>
      <c r="AU12" s="203"/>
      <c r="AV12" s="253"/>
    </row>
    <row r="13" spans="1:48" x14ac:dyDescent="0.25">
      <c r="A13" s="4"/>
    </row>
    <row r="14" spans="1:48" x14ac:dyDescent="0.25">
      <c r="A14" s="4"/>
    </row>
    <row r="15" spans="1:48" x14ac:dyDescent="0.25">
      <c r="A15" s="4"/>
      <c r="Q15" s="253"/>
      <c r="U15" s="99" t="s">
        <v>460</v>
      </c>
      <c r="V15" s="15">
        <v>-0.25</v>
      </c>
    </row>
    <row r="16" spans="1:48" s="124" customFormat="1" x14ac:dyDescent="0.25">
      <c r="Q16" s="203"/>
      <c r="R16" s="246"/>
      <c r="S16" s="203"/>
      <c r="T16" s="203"/>
      <c r="U16" s="99" t="s">
        <v>461</v>
      </c>
      <c r="V16" s="15">
        <v>0.25</v>
      </c>
      <c r="W16" s="203"/>
      <c r="X16" s="203"/>
      <c r="Y16" s="203"/>
      <c r="Z16" s="203"/>
      <c r="AA16" s="203"/>
      <c r="AB16" s="253"/>
      <c r="AC16" s="253"/>
      <c r="AD16" s="253"/>
      <c r="AE16" s="253"/>
      <c r="AF16" s="253"/>
      <c r="AH16" s="203"/>
      <c r="AI16" s="203"/>
      <c r="AJ16" s="203"/>
      <c r="AK16" s="253"/>
      <c r="AL16" s="203"/>
      <c r="AM16" s="203"/>
      <c r="AN16" s="203"/>
      <c r="AO16" s="203"/>
      <c r="AP16" s="203"/>
      <c r="AQ16" s="203"/>
      <c r="AR16" s="544"/>
      <c r="AS16" s="544"/>
      <c r="AT16" s="544"/>
      <c r="AU16" s="203"/>
      <c r="AV16" s="253"/>
    </row>
    <row r="17" spans="1:56" s="205" customFormat="1" ht="13" x14ac:dyDescent="0.25">
      <c r="A17" s="218" t="str">
        <f>B6</f>
        <v>1) From literature review, import performance improvement opportunities</v>
      </c>
      <c r="C17" s="218" t="str">
        <f>B8</f>
        <v>3) Identify area of saving (water, hot water, steam, electricity) and perform initial screening based on performance pyramid</v>
      </c>
      <c r="M17" s="218" t="str">
        <f>B9</f>
        <v>4) Conduct further screening, based on the specifics of the opportunity</v>
      </c>
      <c r="Q17" s="218" t="str">
        <f>B10</f>
        <v>5) Quantify expected site savings (water, thermal, electricity, other) and typical payback period range</v>
      </c>
      <c r="Y17" s="218" t="str">
        <f>B11</f>
        <v>6) back-calculate saving metrics based on commodity rates (including modifying the payback period)</v>
      </c>
      <c r="AB17" s="255"/>
      <c r="AC17" s="255"/>
      <c r="AD17" s="255"/>
      <c r="AE17" s="255"/>
      <c r="AF17" s="255"/>
      <c r="AK17" s="255"/>
      <c r="AQ17" s="218" t="str">
        <f>B12</f>
        <v>7) Conduct final screening for user's maximum payback period</v>
      </c>
      <c r="AR17" s="549"/>
      <c r="AS17" s="549"/>
      <c r="AT17" s="549"/>
      <c r="AU17" s="218"/>
      <c r="AV17" s="255"/>
    </row>
    <row r="18" spans="1:56" s="204" customFormat="1" ht="13" x14ac:dyDescent="0.25">
      <c r="A18" s="218" t="str">
        <f>B7</f>
        <v>2) Categorise each according to performance pyramid</v>
      </c>
      <c r="AB18" s="254"/>
      <c r="AC18" s="254"/>
      <c r="AD18" s="254"/>
      <c r="AE18" s="254"/>
      <c r="AF18" s="254"/>
      <c r="AG18" s="204">
        <f>IFERROR(AL23*V23,AL23*10)</f>
        <v>46500.000000000007</v>
      </c>
      <c r="AK18" s="254"/>
      <c r="AR18" s="550"/>
      <c r="AS18" s="550"/>
      <c r="AT18" s="550"/>
      <c r="AV18" s="254"/>
    </row>
    <row r="19" spans="1:56" ht="25.5" customHeight="1" x14ac:dyDescent="0.25">
      <c r="C19" s="731" t="s">
        <v>99</v>
      </c>
      <c r="D19" s="732"/>
      <c r="E19" s="732"/>
      <c r="F19" s="732"/>
      <c r="G19" s="732"/>
      <c r="H19" s="733"/>
      <c r="I19" s="736" t="s">
        <v>367</v>
      </c>
      <c r="J19" s="737"/>
      <c r="K19" s="737"/>
      <c r="L19" s="738"/>
      <c r="M19" s="671" t="s">
        <v>321</v>
      </c>
      <c r="N19" s="671"/>
      <c r="O19" s="671"/>
      <c r="P19" s="671"/>
      <c r="Q19" s="469" t="s">
        <v>322</v>
      </c>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1"/>
      <c r="AQ19" s="207"/>
      <c r="AR19" s="551"/>
      <c r="AS19" s="551"/>
      <c r="AT19" s="551"/>
      <c r="AU19" s="207"/>
      <c r="AX19" s="4" t="s">
        <v>619</v>
      </c>
    </row>
    <row r="20" spans="1:56" ht="27.75" customHeight="1" x14ac:dyDescent="0.25">
      <c r="C20" s="100" t="s">
        <v>325</v>
      </c>
      <c r="D20" s="100" t="s">
        <v>324</v>
      </c>
      <c r="E20" s="100" t="s">
        <v>324</v>
      </c>
      <c r="F20" s="100" t="s">
        <v>323</v>
      </c>
      <c r="G20" s="100" t="s">
        <v>1015</v>
      </c>
      <c r="H20" s="100"/>
      <c r="I20" s="305" t="str">
        <f>Calculations!G199</f>
        <v>Fair</v>
      </c>
      <c r="J20" s="305" t="str">
        <f>Calculations!G197</f>
        <v>Fair</v>
      </c>
      <c r="K20" s="305" t="str">
        <f>Calculations!G198</f>
        <v>Good</v>
      </c>
      <c r="L20" s="130"/>
      <c r="M20" s="734" t="s">
        <v>328</v>
      </c>
      <c r="N20" s="734"/>
      <c r="O20" s="735" t="s">
        <v>349</v>
      </c>
      <c r="P20" s="735"/>
      <c r="Q20" s="736" t="s">
        <v>327</v>
      </c>
      <c r="R20" s="737"/>
      <c r="S20" s="737"/>
      <c r="T20" s="738"/>
      <c r="U20" s="708" t="s">
        <v>326</v>
      </c>
      <c r="V20" s="709"/>
      <c r="W20" s="710"/>
      <c r="X20" s="735" t="s">
        <v>554</v>
      </c>
      <c r="Y20" s="709"/>
      <c r="Z20" s="709"/>
      <c r="AA20" s="710"/>
      <c r="AB20" s="736" t="s">
        <v>792</v>
      </c>
      <c r="AC20" s="737"/>
      <c r="AD20" s="737"/>
      <c r="AE20" s="737"/>
      <c r="AF20" s="738"/>
      <c r="AG20" s="730" t="s">
        <v>765</v>
      </c>
      <c r="AH20" s="736" t="s">
        <v>793</v>
      </c>
      <c r="AI20" s="737"/>
      <c r="AJ20" s="737"/>
      <c r="AK20" s="737"/>
      <c r="AL20" s="738"/>
      <c r="AM20" s="708" t="s">
        <v>462</v>
      </c>
      <c r="AN20" s="709"/>
      <c r="AO20" s="710"/>
      <c r="AQ20" s="207"/>
      <c r="AR20" s="551"/>
      <c r="AS20" s="551"/>
      <c r="AT20" s="551"/>
      <c r="AU20" s="207"/>
      <c r="AX20" s="455" t="s">
        <v>790</v>
      </c>
    </row>
    <row r="21" spans="1:56" ht="25" x14ac:dyDescent="0.25">
      <c r="A21" s="123" t="s">
        <v>360</v>
      </c>
      <c r="B21" s="6" t="s">
        <v>320</v>
      </c>
      <c r="C21" s="6" t="s">
        <v>67</v>
      </c>
      <c r="D21" s="6" t="s">
        <v>97</v>
      </c>
      <c r="E21" s="6" t="s">
        <v>98</v>
      </c>
      <c r="F21" s="6" t="s">
        <v>72</v>
      </c>
      <c r="G21" s="292" t="s">
        <v>1016</v>
      </c>
      <c r="H21" s="292" t="s">
        <v>73</v>
      </c>
      <c r="I21" s="126" t="s">
        <v>325</v>
      </c>
      <c r="J21" s="126" t="s">
        <v>324</v>
      </c>
      <c r="K21" s="126" t="s">
        <v>323</v>
      </c>
      <c r="L21" s="126" t="s">
        <v>368</v>
      </c>
      <c r="M21" s="115" t="s">
        <v>329</v>
      </c>
      <c r="N21" s="115" t="s">
        <v>330</v>
      </c>
      <c r="O21" s="115" t="s">
        <v>350</v>
      </c>
      <c r="P21" s="115" t="s">
        <v>351</v>
      </c>
      <c r="Q21" s="201" t="s">
        <v>463</v>
      </c>
      <c r="R21" s="201" t="s">
        <v>464</v>
      </c>
      <c r="S21" s="201" t="s">
        <v>323</v>
      </c>
      <c r="T21" s="201" t="s">
        <v>325</v>
      </c>
      <c r="U21" s="201" t="s">
        <v>457</v>
      </c>
      <c r="V21" s="201" t="s">
        <v>459</v>
      </c>
      <c r="W21" s="201" t="s">
        <v>458</v>
      </c>
      <c r="X21" s="704"/>
      <c r="Y21" s="201" t="s">
        <v>324</v>
      </c>
      <c r="Z21" s="201" t="s">
        <v>323</v>
      </c>
      <c r="AA21" s="201" t="s">
        <v>325</v>
      </c>
      <c r="AB21" s="468" t="s">
        <v>324</v>
      </c>
      <c r="AC21" s="468" t="s">
        <v>323</v>
      </c>
      <c r="AD21" s="468" t="s">
        <v>325</v>
      </c>
      <c r="AE21" s="253" t="s">
        <v>555</v>
      </c>
      <c r="AF21" s="253" t="s">
        <v>31</v>
      </c>
      <c r="AG21" s="730"/>
      <c r="AH21" s="201" t="s">
        <v>324</v>
      </c>
      <c r="AI21" s="201" t="s">
        <v>323</v>
      </c>
      <c r="AJ21" s="201" t="s">
        <v>325</v>
      </c>
      <c r="AK21" s="253" t="s">
        <v>555</v>
      </c>
      <c r="AL21" s="203" t="s">
        <v>31</v>
      </c>
      <c r="AM21" s="201" t="s">
        <v>457</v>
      </c>
      <c r="AN21" s="201" t="s">
        <v>459</v>
      </c>
      <c r="AO21" s="201" t="s">
        <v>458</v>
      </c>
      <c r="AP21" s="102" t="s">
        <v>359</v>
      </c>
      <c r="AQ21" s="201" t="s">
        <v>468</v>
      </c>
      <c r="AR21" s="552" t="s">
        <v>1016</v>
      </c>
      <c r="AS21" s="552"/>
      <c r="AT21" s="552"/>
      <c r="AU21" s="201" t="s">
        <v>352</v>
      </c>
      <c r="AV21" s="445" t="s">
        <v>519</v>
      </c>
      <c r="AX21" s="4" t="s">
        <v>614</v>
      </c>
      <c r="BD21" s="4" t="s">
        <v>616</v>
      </c>
    </row>
    <row r="22" spans="1:56" s="254" customFormat="1" ht="50" x14ac:dyDescent="0.25">
      <c r="A22" s="540" t="str">
        <f>A21</f>
        <v>Category of Opportunity</v>
      </c>
      <c r="B22" s="540" t="str">
        <f>B21</f>
        <v>Opportunity Description</v>
      </c>
      <c r="C22" s="539" t="str">
        <f>$C$19&amp;"-"&amp;C21</f>
        <v>area of saving-Water</v>
      </c>
      <c r="D22" s="539" t="str">
        <f t="shared" ref="D22:H22" si="0">$C$19&amp;"-"&amp;D21</f>
        <v>area of saving-Steam</v>
      </c>
      <c r="E22" s="539" t="str">
        <f t="shared" si="0"/>
        <v>area of saving-Water heating</v>
      </c>
      <c r="F22" s="539" t="str">
        <f t="shared" si="0"/>
        <v>area of saving-Electricity</v>
      </c>
      <c r="G22" s="539" t="str">
        <f t="shared" si="0"/>
        <v>area of saving-Emissions</v>
      </c>
      <c r="H22" s="539" t="str">
        <f t="shared" si="0"/>
        <v>area of saving-Wastewater</v>
      </c>
      <c r="I22" s="538" t="str">
        <f>$I$19&amp;"-"&amp;I21</f>
        <v>Consider Opportunity?-water</v>
      </c>
      <c r="J22" s="538" t="str">
        <f t="shared" ref="J22:L22" si="1">$I$19&amp;"-"&amp;J21</f>
        <v>Consider Opportunity?-thermal</v>
      </c>
      <c r="K22" s="538" t="str">
        <f t="shared" si="1"/>
        <v>Consider Opportunity?-elec</v>
      </c>
      <c r="L22" s="538" t="str">
        <f t="shared" si="1"/>
        <v>Consider Opportunity?-overall</v>
      </c>
      <c r="M22" s="538" t="str">
        <f>$M$19&amp;"-"&amp;M21</f>
        <v>Questionnaire trigger(s)-What facility required?</v>
      </c>
      <c r="N22" s="538" t="str">
        <f t="shared" ref="N22:P22" si="2">$M$19&amp;"-"&amp;N21</f>
        <v>Questionnaire trigger(s)-Has Facility? T/F</v>
      </c>
      <c r="O22" s="538" t="str">
        <f t="shared" si="2"/>
        <v>Questionnaire trigger(s)-Minimum tHSCW output required?</v>
      </c>
      <c r="P22" s="538" t="str">
        <f t="shared" si="2"/>
        <v>Questionnaire trigger(s)-Meets production requirement? T/F</v>
      </c>
      <c r="Q22" s="538" t="str">
        <f>$Q$20&amp;"-"&amp;Q21</f>
        <v>% of total site usage saved-thermal (site /w rendering)</v>
      </c>
      <c r="R22" s="538" t="str">
        <f>$Q$20&amp;"-"&amp;R21</f>
        <v>% of total site usage saved-thermal (site w/o rendering)</v>
      </c>
      <c r="S22" s="538" t="str">
        <f>$Q$20&amp;"-"&amp;S21</f>
        <v>% of total site usage saved-elec</v>
      </c>
      <c r="T22" s="538" t="str">
        <f>$Q$20&amp;"-"&amp;T21</f>
        <v>% of total site usage saved-water</v>
      </c>
      <c r="U22" s="538" t="str">
        <f>$U$20&amp;"-"&amp;U21</f>
        <v>typical payback (years)-lower</v>
      </c>
      <c r="V22" s="538" t="str">
        <f>$U$20&amp;"-"&amp;V21</f>
        <v>typical payback (years)-mid</v>
      </c>
      <c r="W22" s="538" t="str">
        <f>$U$20&amp;"-"&amp;W21</f>
        <v>typical payback (years)-upper</v>
      </c>
      <c r="X22" s="538" t="str">
        <f>X20</f>
        <v>Other net saving as a multiplier of total commodity savings</v>
      </c>
      <c r="Y22" s="538" t="s">
        <v>465</v>
      </c>
      <c r="Z22" s="538" t="s">
        <v>466</v>
      </c>
      <c r="AA22" s="538" t="s">
        <v>467</v>
      </c>
      <c r="AB22" s="538" t="str">
        <f>$AB$20&amp;"-"&amp;AB21</f>
        <v>back-calculated default saving ($ / yr)-thermal</v>
      </c>
      <c r="AC22" s="538" t="str">
        <f t="shared" ref="AC22:AF22" si="3">$AB$20&amp;"-"&amp;AC21</f>
        <v>back-calculated default saving ($ / yr)-elec</v>
      </c>
      <c r="AD22" s="538" t="str">
        <f t="shared" si="3"/>
        <v>back-calculated default saving ($ / yr)-water</v>
      </c>
      <c r="AE22" s="538" t="str">
        <f t="shared" si="3"/>
        <v>back-calculated default saving ($ / yr)-net other</v>
      </c>
      <c r="AF22" s="538" t="str">
        <f t="shared" si="3"/>
        <v>back-calculated default saving ($ / yr)-Total</v>
      </c>
      <c r="AG22" s="545" t="str">
        <f>AG20</f>
        <v>back-calculated adjusted CAPEX</v>
      </c>
      <c r="AH22" s="538" t="str">
        <f>$AH$20&amp;"-"&amp;AH21</f>
        <v>back-calculated actual saving ($ / yr)-thermal</v>
      </c>
      <c r="AI22" s="538" t="str">
        <f>$AH$20&amp;"-"&amp;AI21</f>
        <v>back-calculated actual saving ($ / yr)-elec</v>
      </c>
      <c r="AJ22" s="538" t="str">
        <f>$AH$20&amp;"-"&amp;AJ21</f>
        <v>back-calculated actual saving ($ / yr)-water</v>
      </c>
      <c r="AK22" s="538" t="str">
        <f>$AH$20&amp;"-"&amp;AK21</f>
        <v>back-calculated actual saving ($ / yr)-net other</v>
      </c>
      <c r="AL22" s="538" t="str">
        <f>$AH$20&amp;"-"&amp;AL21</f>
        <v>back-calculated actual saving ($ / yr)-Total</v>
      </c>
      <c r="AM22" s="538" t="str">
        <f>$AM$20&amp;"-"&amp;AM21</f>
        <v>adjusted payback (years)-lower</v>
      </c>
      <c r="AN22" s="538" t="str">
        <f>$AM$20&amp;"-"&amp;AN21</f>
        <v>adjusted payback (years)-mid</v>
      </c>
      <c r="AO22" s="538" t="str">
        <f>$AM$20&amp;"-"&amp;AO21</f>
        <v>adjusted payback (years)-upper</v>
      </c>
      <c r="AP22" s="545" t="str">
        <f>AP21</f>
        <v>Has zero savings?</v>
      </c>
      <c r="AQ22" s="538" t="str">
        <f>AQ21</f>
        <v>Passes the payback threshold?</v>
      </c>
      <c r="AR22" s="553" t="s">
        <v>1017</v>
      </c>
      <c r="AS22" s="553" t="s">
        <v>1018</v>
      </c>
      <c r="AT22" s="553" t="s">
        <v>1022</v>
      </c>
      <c r="AU22" s="538" t="str">
        <f>AU21</f>
        <v>Present to user? T/F</v>
      </c>
      <c r="AV22" s="540" t="str">
        <f>AV21</f>
        <v>Hyperlink to URL</v>
      </c>
      <c r="AW22" s="254" t="s">
        <v>942</v>
      </c>
      <c r="AX22" s="546" t="s">
        <v>947</v>
      </c>
      <c r="BD22" s="547" t="s">
        <v>615</v>
      </c>
    </row>
    <row r="23" spans="1:56" ht="62.5" hidden="1" x14ac:dyDescent="0.25">
      <c r="A23" s="106" t="s">
        <v>361</v>
      </c>
      <c r="B23" s="307" t="s">
        <v>1024</v>
      </c>
      <c r="C23" s="308" t="s">
        <v>100</v>
      </c>
      <c r="D23" s="255"/>
      <c r="E23" s="255"/>
      <c r="F23" s="255"/>
      <c r="G23" s="548" t="s">
        <v>100</v>
      </c>
      <c r="H23" s="255"/>
      <c r="I23" s="301" t="b">
        <f t="shared" ref="I23:I54" si="4">IF(C23="Yes",INDEX(Opportunity_Category_Display_Matrix,MATCH($A23,Opportunity_Category,0),MATCH(I$20,Performance_Descriptor_List,0)),"")</f>
        <v>1</v>
      </c>
      <c r="J23" s="301" t="str">
        <f t="shared" ref="J23:J54" si="5">IF(OR(D23="Yes",E23="Yes"),INDEX(Opportunity_Category_Display_Matrix,MATCH($A23,Opportunity_Category,0),MATCH(J$20,Performance_Descriptor_List,0)),"")</f>
        <v/>
      </c>
      <c r="K23" s="301" t="str">
        <f t="shared" ref="K23:K54" si="6">IF(F23="Yes",INDEX(Opportunity_Category_Display_Matrix,MATCH($A23,Opportunity_Category,0),MATCH(K$20,Performance_Descriptor_List,0)),"")</f>
        <v/>
      </c>
      <c r="L23" s="131" t="b">
        <f t="shared" ref="L23:L86" si="7">IFERROR(OR(I23,J23,K23),FALSE)</f>
        <v>1</v>
      </c>
      <c r="M23" s="253" t="s">
        <v>348</v>
      </c>
      <c r="N23" s="253" t="b">
        <v>1</v>
      </c>
      <c r="O23" s="253" t="s">
        <v>357</v>
      </c>
      <c r="P23" s="253" t="b">
        <v>1</v>
      </c>
      <c r="Q23" s="116"/>
      <c r="R23" s="116"/>
      <c r="S23" s="116"/>
      <c r="T23" s="116">
        <v>5.000000000000001E-3</v>
      </c>
      <c r="U23" s="117">
        <v>3</v>
      </c>
      <c r="V23" s="117">
        <v>4</v>
      </c>
      <c r="W23" s="117">
        <v>5</v>
      </c>
      <c r="X23" s="117">
        <v>1</v>
      </c>
      <c r="Y23" s="302">
        <f>IFERROR(IF(Inputs!$D$29='Drop-downs'!$K$21,R23,Q23)*Calculations!$D$64,0)/1000</f>
        <v>0</v>
      </c>
      <c r="Z23" s="302">
        <f>IFERROR(S23*Calculations!$D$65,0)</f>
        <v>0</v>
      </c>
      <c r="AA23" s="302">
        <f>IFERROR(T23*Calculations!$D$67,0)</f>
        <v>3000.0000000000005</v>
      </c>
      <c r="AB23" s="303">
        <f>IFERROR(Y23*Calculations!$I$64,0)</f>
        <v>0</v>
      </c>
      <c r="AC23" s="303">
        <f>IFERROR(Z23*Calculations!$I$65,0)</f>
        <v>0</v>
      </c>
      <c r="AD23" s="303">
        <f>IFERROR(AA23*Calculations!$I$67,0)</f>
        <v>11625.000000000002</v>
      </c>
      <c r="AE23" s="306">
        <f>SUM(AH23:AJ23)*(X23-1)</f>
        <v>0</v>
      </c>
      <c r="AF23" s="121">
        <f>SUM(AB23:AE23)</f>
        <v>11625.000000000002</v>
      </c>
      <c r="AG23" s="120">
        <f>IFERROR(AF23*V23,AF23*10)</f>
        <v>46500.000000000007</v>
      </c>
      <c r="AH23" s="303">
        <f>IFERROR(Y23*Calculations!$J$64,0)</f>
        <v>0</v>
      </c>
      <c r="AI23" s="303">
        <f>IFERROR(Z23*Calculations!$J$65,0)</f>
        <v>0</v>
      </c>
      <c r="AJ23" s="303">
        <f>IFERROR(AA23*Calculations!$J$67,0)</f>
        <v>11625.000000000002</v>
      </c>
      <c r="AK23" s="306">
        <f t="shared" ref="AK23:AK55" si="8">SUM(AH23:AJ23)*(X23-1)</f>
        <v>0</v>
      </c>
      <c r="AL23" s="121">
        <f t="shared" ref="AL23:AL86" si="9">SUM(AH23:AK23)</f>
        <v>11625.000000000002</v>
      </c>
      <c r="AM23" s="206">
        <f t="shared" ref="AM23" si="10">IFERROR(AN23*(1+$V$15),AN23)</f>
        <v>3</v>
      </c>
      <c r="AN23" s="206">
        <f>IF(AG23&lt;=0,0,AG23/AL23)</f>
        <v>4</v>
      </c>
      <c r="AO23" s="206">
        <f t="shared" ref="AO23" si="11">IFERROR(AN23*(1+$V$16),AN23)</f>
        <v>5</v>
      </c>
      <c r="AP23" s="220" t="b">
        <f>AL23&lt;=0</f>
        <v>0</v>
      </c>
      <c r="AQ23" s="304" t="b">
        <f>IFERROR(AN23&lt;=Inputs!$P$51,FALSE)</f>
        <v>0</v>
      </c>
      <c r="AR23" s="554">
        <f>IF($G23="yes",IFERROR(Y23/Calculations!$C$228*Calculations!$G$228,0),0)</f>
        <v>0</v>
      </c>
      <c r="AS23" s="554">
        <f>IF($G23="yes",IFERROR(Z23/Calculations!$C$232*Calculations!$G$232,0),0)</f>
        <v>0</v>
      </c>
      <c r="AT23" s="554">
        <f>AR23+AS23</f>
        <v>0</v>
      </c>
      <c r="AU23" s="206" t="b">
        <f t="shared" ref="AU23:AU53" si="12">AND(L23,N23,P23,NOT(AP23),AQ23)</f>
        <v>0</v>
      </c>
      <c r="AV23" s="349" t="s">
        <v>790</v>
      </c>
    </row>
    <row r="24" spans="1:56" ht="75" hidden="1" x14ac:dyDescent="0.25">
      <c r="A24" s="106" t="s">
        <v>538</v>
      </c>
      <c r="B24" s="307" t="s">
        <v>1025</v>
      </c>
      <c r="C24" s="308" t="s">
        <v>100</v>
      </c>
      <c r="D24" s="255"/>
      <c r="E24" s="255"/>
      <c r="F24" s="255"/>
      <c r="G24" s="548" t="s">
        <v>100</v>
      </c>
      <c r="H24" s="255"/>
      <c r="I24" s="301" t="b">
        <f t="shared" si="4"/>
        <v>1</v>
      </c>
      <c r="J24" s="301" t="str">
        <f t="shared" si="5"/>
        <v/>
      </c>
      <c r="K24" s="301" t="str">
        <f t="shared" si="6"/>
        <v/>
      </c>
      <c r="L24" s="131" t="b">
        <f t="shared" si="7"/>
        <v>1</v>
      </c>
      <c r="M24" s="253" t="s">
        <v>348</v>
      </c>
      <c r="N24" s="253" t="b">
        <v>1</v>
      </c>
      <c r="O24" s="253" t="s">
        <v>357</v>
      </c>
      <c r="P24" s="253" t="b">
        <v>1</v>
      </c>
      <c r="Q24" s="116"/>
      <c r="R24" s="116"/>
      <c r="S24" s="116"/>
      <c r="T24" s="116">
        <v>3.0000000000000002E-2</v>
      </c>
      <c r="U24" s="117">
        <v>0.2</v>
      </c>
      <c r="V24" s="117">
        <v>0.3</v>
      </c>
      <c r="W24" s="117">
        <v>0.4</v>
      </c>
      <c r="X24" s="117">
        <v>1</v>
      </c>
      <c r="Y24" s="302">
        <f>IFERROR(IF(Inputs!$D$29='Drop-downs'!$K$21,R24,Q24)*Calculations!$D$64,0)/1000</f>
        <v>0</v>
      </c>
      <c r="Z24" s="302">
        <f>IFERROR(S24*Calculations!$D$65,0)</f>
        <v>0</v>
      </c>
      <c r="AA24" s="302">
        <f>IFERROR(T24*Calculations!$D$67,0)</f>
        <v>18000</v>
      </c>
      <c r="AB24" s="303">
        <f>IFERROR(Y24*Calculations!$I$64,0)</f>
        <v>0</v>
      </c>
      <c r="AC24" s="303">
        <f>IFERROR(Z24*Calculations!$I$65,0)</f>
        <v>0</v>
      </c>
      <c r="AD24" s="303">
        <f>IFERROR(AA24*Calculations!$I$67,0)</f>
        <v>69750</v>
      </c>
      <c r="AE24" s="306">
        <f t="shared" ref="AE24:AE89" si="13">SUM(AH24:AJ24)*(X24-1)</f>
        <v>0</v>
      </c>
      <c r="AF24" s="121">
        <f t="shared" ref="AF24:AF89" si="14">SUM(AB24:AE24)</f>
        <v>69750</v>
      </c>
      <c r="AG24" s="120">
        <f t="shared" ref="AG24:AG89" si="15">IFERROR(AF24*V24,AF24*10)</f>
        <v>20925</v>
      </c>
      <c r="AH24" s="303">
        <f>IFERROR(Y24*Calculations!$J$64,0)</f>
        <v>0</v>
      </c>
      <c r="AI24" s="303">
        <f>IFERROR(Z24*Calculations!$J$65,0)</f>
        <v>0</v>
      </c>
      <c r="AJ24" s="303">
        <f>IFERROR(AA24*Calculations!$J$67,0)</f>
        <v>69750</v>
      </c>
      <c r="AK24" s="306">
        <f t="shared" si="8"/>
        <v>0</v>
      </c>
      <c r="AL24" s="121">
        <f t="shared" si="9"/>
        <v>69750</v>
      </c>
      <c r="AM24" s="206">
        <f t="shared" ref="AM24:AM89" si="16">IFERROR(AN24*(1+$V$15),AN24)</f>
        <v>0.22499999999999998</v>
      </c>
      <c r="AN24" s="206">
        <f t="shared" ref="AN24:AN89" si="17">IF(AG24&lt;=0,0,AG24/AL24)</f>
        <v>0.3</v>
      </c>
      <c r="AO24" s="206">
        <f t="shared" ref="AO24:AO89" si="18">IFERROR(AN24*(1+$V$16),AN24)</f>
        <v>0.375</v>
      </c>
      <c r="AP24" s="220" t="b">
        <f t="shared" ref="AP24:AP55" si="19">AL24&lt;=0</f>
        <v>0</v>
      </c>
      <c r="AQ24" s="304" t="b">
        <f>IFERROR(AN24&lt;=Inputs!$P$51,FALSE)</f>
        <v>1</v>
      </c>
      <c r="AR24" s="554">
        <f>IF($G24="yes",IFERROR(Y24/Calculations!$C$228*Calculations!$G$228,0),0)</f>
        <v>0</v>
      </c>
      <c r="AS24" s="554">
        <f>IF($G24="yes",IFERROR(Z24/Calculations!$C$232*Calculations!$G$232,0),0)</f>
        <v>0</v>
      </c>
      <c r="AT24" s="554">
        <f t="shared" ref="AT24:AT86" si="20">AR24+AS24</f>
        <v>0</v>
      </c>
      <c r="AU24" s="206" t="b">
        <f t="shared" si="12"/>
        <v>1</v>
      </c>
      <c r="AV24" s="350" t="s">
        <v>956</v>
      </c>
      <c r="AW24" s="253"/>
      <c r="AZ24" s="351" t="s">
        <v>620</v>
      </c>
    </row>
    <row r="25" spans="1:56" ht="62.5" hidden="1" x14ac:dyDescent="0.25">
      <c r="A25" s="106" t="s">
        <v>372</v>
      </c>
      <c r="B25" s="307" t="s">
        <v>1026</v>
      </c>
      <c r="C25" s="308" t="s">
        <v>100</v>
      </c>
      <c r="D25" s="255"/>
      <c r="E25" s="255"/>
      <c r="F25" s="255"/>
      <c r="G25" s="548" t="s">
        <v>100</v>
      </c>
      <c r="H25" s="255"/>
      <c r="I25" s="301" t="b">
        <f t="shared" si="4"/>
        <v>0</v>
      </c>
      <c r="J25" s="301" t="str">
        <f t="shared" si="5"/>
        <v/>
      </c>
      <c r="K25" s="301" t="str">
        <f t="shared" si="6"/>
        <v/>
      </c>
      <c r="L25" s="131" t="b">
        <f t="shared" si="7"/>
        <v>0</v>
      </c>
      <c r="M25" s="253" t="s">
        <v>348</v>
      </c>
      <c r="N25" s="253" t="b">
        <v>1</v>
      </c>
      <c r="O25" s="253" t="s">
        <v>357</v>
      </c>
      <c r="P25" s="253" t="b">
        <v>1</v>
      </c>
      <c r="Q25" s="116"/>
      <c r="R25" s="116"/>
      <c r="S25" s="116"/>
      <c r="T25" s="116">
        <v>1.2000000000000002E-2</v>
      </c>
      <c r="U25" s="117">
        <v>0.4</v>
      </c>
      <c r="V25" s="117">
        <v>0.6</v>
      </c>
      <c r="W25" s="117">
        <v>1</v>
      </c>
      <c r="X25" s="117">
        <v>1</v>
      </c>
      <c r="Y25" s="302">
        <f>IFERROR(IF(Inputs!$D$29='Drop-downs'!$K$21,R25,Q25)*Calculations!$D$64,0)/1000</f>
        <v>0</v>
      </c>
      <c r="Z25" s="302">
        <f>IFERROR(S25*Calculations!$D$65,0)</f>
        <v>0</v>
      </c>
      <c r="AA25" s="302">
        <f>IFERROR(T25*Calculations!$D$67,0)</f>
        <v>7200.0000000000009</v>
      </c>
      <c r="AB25" s="303">
        <f>IFERROR(Y25*Calculations!$I$64,0)</f>
        <v>0</v>
      </c>
      <c r="AC25" s="303">
        <f>IFERROR(Z25*Calculations!$I$65,0)</f>
        <v>0</v>
      </c>
      <c r="AD25" s="303">
        <f>IFERROR(AA25*Calculations!$I$67,0)</f>
        <v>27900.000000000004</v>
      </c>
      <c r="AE25" s="306">
        <f t="shared" si="13"/>
        <v>0</v>
      </c>
      <c r="AF25" s="121">
        <f t="shared" si="14"/>
        <v>27900.000000000004</v>
      </c>
      <c r="AG25" s="120">
        <f t="shared" si="15"/>
        <v>16740</v>
      </c>
      <c r="AH25" s="303">
        <f>IFERROR(Y25*Calculations!$J$64,0)</f>
        <v>0</v>
      </c>
      <c r="AI25" s="303">
        <f>IFERROR(Z25*Calculations!$J$65,0)</f>
        <v>0</v>
      </c>
      <c r="AJ25" s="303">
        <f>IFERROR(AA25*Calculations!$J$67,0)</f>
        <v>27900.000000000004</v>
      </c>
      <c r="AK25" s="306">
        <f t="shared" si="8"/>
        <v>0</v>
      </c>
      <c r="AL25" s="121">
        <f t="shared" si="9"/>
        <v>27900.000000000004</v>
      </c>
      <c r="AM25" s="206">
        <f t="shared" si="16"/>
        <v>0.4499999999999999</v>
      </c>
      <c r="AN25" s="206">
        <f t="shared" si="17"/>
        <v>0.59999999999999987</v>
      </c>
      <c r="AO25" s="206">
        <f t="shared" si="18"/>
        <v>0.74999999999999978</v>
      </c>
      <c r="AP25" s="220" t="b">
        <f t="shared" si="19"/>
        <v>0</v>
      </c>
      <c r="AQ25" s="304" t="b">
        <f>IFERROR(AN25&lt;=Inputs!$P$51,FALSE)</f>
        <v>1</v>
      </c>
      <c r="AR25" s="554">
        <f>IF($G25="yes",IFERROR(Y25/Calculations!$C$228*Calculations!$G$228,0),0)</f>
        <v>0</v>
      </c>
      <c r="AS25" s="554">
        <f>IF($G25="yes",IFERROR(Z25/Calculations!$C$232*Calculations!$G$232,0),0)</f>
        <v>0</v>
      </c>
      <c r="AT25" s="554">
        <f t="shared" si="20"/>
        <v>0</v>
      </c>
      <c r="AU25" s="206" t="b">
        <f t="shared" si="12"/>
        <v>0</v>
      </c>
      <c r="AV25" s="349" t="s">
        <v>790</v>
      </c>
      <c r="AW25" s="253"/>
      <c r="AZ25" s="351" t="s">
        <v>621</v>
      </c>
    </row>
    <row r="26" spans="1:56" ht="25" hidden="1" x14ac:dyDescent="0.25">
      <c r="A26" s="106" t="s">
        <v>361</v>
      </c>
      <c r="B26" s="307" t="s">
        <v>1027</v>
      </c>
      <c r="C26" s="308" t="s">
        <v>100</v>
      </c>
      <c r="D26" s="255"/>
      <c r="E26" s="255"/>
      <c r="F26" s="255"/>
      <c r="G26" s="548" t="s">
        <v>100</v>
      </c>
      <c r="H26" s="255"/>
      <c r="I26" s="301" t="b">
        <f t="shared" si="4"/>
        <v>1</v>
      </c>
      <c r="J26" s="301" t="str">
        <f t="shared" si="5"/>
        <v/>
      </c>
      <c r="K26" s="301" t="str">
        <f t="shared" si="6"/>
        <v/>
      </c>
      <c r="L26" s="131" t="b">
        <f t="shared" si="7"/>
        <v>1</v>
      </c>
      <c r="M26" s="253" t="s">
        <v>348</v>
      </c>
      <c r="N26" s="253" t="b">
        <v>1</v>
      </c>
      <c r="O26" s="253" t="s">
        <v>357</v>
      </c>
      <c r="P26" s="253" t="b">
        <v>1</v>
      </c>
      <c r="Q26" s="116"/>
      <c r="R26" s="116"/>
      <c r="S26" s="116"/>
      <c r="T26" s="116">
        <v>3.0000000000000002E-2</v>
      </c>
      <c r="U26" s="117">
        <v>0.2</v>
      </c>
      <c r="V26" s="117">
        <v>0.3</v>
      </c>
      <c r="W26" s="117">
        <v>1</v>
      </c>
      <c r="X26" s="117">
        <v>1</v>
      </c>
      <c r="Y26" s="302">
        <f>IFERROR(IF(Inputs!$D$29='Drop-downs'!$K$21,R26,Q26)*Calculations!$D$64,0)/1000</f>
        <v>0</v>
      </c>
      <c r="Z26" s="302">
        <f>IFERROR(S26*Calculations!$D$65,0)</f>
        <v>0</v>
      </c>
      <c r="AA26" s="302">
        <f>IFERROR(T26*Calculations!$D$67,0)</f>
        <v>18000</v>
      </c>
      <c r="AB26" s="303">
        <f>IFERROR(Y26*Calculations!$I$64,0)</f>
        <v>0</v>
      </c>
      <c r="AC26" s="303">
        <f>IFERROR(Z26*Calculations!$I$65,0)</f>
        <v>0</v>
      </c>
      <c r="AD26" s="303">
        <f>IFERROR(AA26*Calculations!$I$67,0)</f>
        <v>69750</v>
      </c>
      <c r="AE26" s="306">
        <f t="shared" si="13"/>
        <v>0</v>
      </c>
      <c r="AF26" s="121">
        <f t="shared" si="14"/>
        <v>69750</v>
      </c>
      <c r="AG26" s="120">
        <f t="shared" si="15"/>
        <v>20925</v>
      </c>
      <c r="AH26" s="303">
        <f>IFERROR(Y26*Calculations!$J$64,0)</f>
        <v>0</v>
      </c>
      <c r="AI26" s="303">
        <f>IFERROR(Z26*Calculations!$J$65,0)</f>
        <v>0</v>
      </c>
      <c r="AJ26" s="303">
        <f>IFERROR(AA26*Calculations!$J$67,0)</f>
        <v>69750</v>
      </c>
      <c r="AK26" s="306">
        <f t="shared" si="8"/>
        <v>0</v>
      </c>
      <c r="AL26" s="121">
        <f t="shared" si="9"/>
        <v>69750</v>
      </c>
      <c r="AM26" s="206">
        <f t="shared" si="16"/>
        <v>0.22499999999999998</v>
      </c>
      <c r="AN26" s="206">
        <f t="shared" si="17"/>
        <v>0.3</v>
      </c>
      <c r="AO26" s="206">
        <f t="shared" si="18"/>
        <v>0.375</v>
      </c>
      <c r="AP26" s="220" t="b">
        <f t="shared" si="19"/>
        <v>0</v>
      </c>
      <c r="AQ26" s="304" t="b">
        <f>IFERROR(AN26&lt;=Inputs!$P$51,FALSE)</f>
        <v>1</v>
      </c>
      <c r="AR26" s="554">
        <f>IF($G26="yes",IFERROR(Y26/Calculations!$C$228*Calculations!$G$228,0),0)</f>
        <v>0</v>
      </c>
      <c r="AS26" s="554">
        <f>IF($G26="yes",IFERROR(Z26/Calculations!$C$232*Calculations!$G$232,0),0)</f>
        <v>0</v>
      </c>
      <c r="AT26" s="554">
        <f t="shared" si="20"/>
        <v>0</v>
      </c>
      <c r="AU26" s="206" t="b">
        <f t="shared" si="12"/>
        <v>1</v>
      </c>
      <c r="AV26" s="349" t="s">
        <v>790</v>
      </c>
      <c r="AW26" s="253"/>
      <c r="AZ26" s="351" t="s">
        <v>622</v>
      </c>
    </row>
    <row r="27" spans="1:56" hidden="1" x14ac:dyDescent="0.25">
      <c r="A27" s="106" t="s">
        <v>361</v>
      </c>
      <c r="B27" s="307" t="s">
        <v>556</v>
      </c>
      <c r="C27" s="308" t="s">
        <v>100</v>
      </c>
      <c r="D27" s="255"/>
      <c r="E27" s="255"/>
      <c r="F27" s="255"/>
      <c r="G27" s="548" t="s">
        <v>100</v>
      </c>
      <c r="H27" s="255"/>
      <c r="I27" s="301" t="b">
        <f t="shared" si="4"/>
        <v>1</v>
      </c>
      <c r="J27" s="301" t="str">
        <f t="shared" si="5"/>
        <v/>
      </c>
      <c r="K27" s="301" t="str">
        <f t="shared" si="6"/>
        <v/>
      </c>
      <c r="L27" s="131" t="b">
        <f t="shared" si="7"/>
        <v>1</v>
      </c>
      <c r="M27" s="253" t="s">
        <v>348</v>
      </c>
      <c r="N27" s="253" t="b">
        <v>1</v>
      </c>
      <c r="O27" s="253" t="s">
        <v>357</v>
      </c>
      <c r="P27" s="253" t="b">
        <v>1</v>
      </c>
      <c r="Q27" s="116"/>
      <c r="R27" s="116"/>
      <c r="S27" s="116"/>
      <c r="T27" s="116">
        <v>5.0000000000000001E-3</v>
      </c>
      <c r="U27" s="117">
        <v>0.3</v>
      </c>
      <c r="V27" s="117">
        <v>0.5</v>
      </c>
      <c r="W27" s="117">
        <v>1</v>
      </c>
      <c r="X27" s="117">
        <v>1</v>
      </c>
      <c r="Y27" s="302">
        <f>IFERROR(IF(Inputs!$D$29='Drop-downs'!$K$21,R27,Q27)*Calculations!$D$64,0)/1000</f>
        <v>0</v>
      </c>
      <c r="Z27" s="302">
        <f>IFERROR(S27*Calculations!$D$65,0)</f>
        <v>0</v>
      </c>
      <c r="AA27" s="302">
        <f>IFERROR(T27*Calculations!$D$67,0)</f>
        <v>3000</v>
      </c>
      <c r="AB27" s="303">
        <f>IFERROR(Y27*Calculations!$I$64,0)</f>
        <v>0</v>
      </c>
      <c r="AC27" s="303">
        <f>IFERROR(Z27*Calculations!$I$65,0)</f>
        <v>0</v>
      </c>
      <c r="AD27" s="303">
        <f>IFERROR(AA27*Calculations!$I$67,0)</f>
        <v>11625</v>
      </c>
      <c r="AE27" s="306">
        <f t="shared" si="13"/>
        <v>0</v>
      </c>
      <c r="AF27" s="121">
        <f t="shared" si="14"/>
        <v>11625</v>
      </c>
      <c r="AG27" s="120">
        <f t="shared" si="15"/>
        <v>5812.5</v>
      </c>
      <c r="AH27" s="303">
        <f>IFERROR(Y27*Calculations!$J$64,0)</f>
        <v>0</v>
      </c>
      <c r="AI27" s="303">
        <f>IFERROR(Z27*Calculations!$J$65,0)</f>
        <v>0</v>
      </c>
      <c r="AJ27" s="303">
        <f>IFERROR(AA27*Calculations!$J$67,0)</f>
        <v>11625</v>
      </c>
      <c r="AK27" s="306">
        <f t="shared" si="8"/>
        <v>0</v>
      </c>
      <c r="AL27" s="121">
        <f t="shared" si="9"/>
        <v>11625</v>
      </c>
      <c r="AM27" s="206">
        <f t="shared" si="16"/>
        <v>0.375</v>
      </c>
      <c r="AN27" s="206">
        <f t="shared" si="17"/>
        <v>0.5</v>
      </c>
      <c r="AO27" s="206">
        <f t="shared" si="18"/>
        <v>0.625</v>
      </c>
      <c r="AP27" s="220" t="b">
        <f t="shared" si="19"/>
        <v>0</v>
      </c>
      <c r="AQ27" s="304" t="b">
        <f>IFERROR(AN27&lt;=Inputs!$P$51,FALSE)</f>
        <v>1</v>
      </c>
      <c r="AR27" s="554">
        <f>IF($G27="yes",IFERROR(Y27/Calculations!$C$228*Calculations!$G$228,0),0)</f>
        <v>0</v>
      </c>
      <c r="AS27" s="554">
        <f>IF($G27="yes",IFERROR(Z27/Calculations!$C$232*Calculations!$G$232,0),0)</f>
        <v>0</v>
      </c>
      <c r="AT27" s="554">
        <f t="shared" si="20"/>
        <v>0</v>
      </c>
      <c r="AU27" s="206" t="b">
        <f t="shared" si="12"/>
        <v>1</v>
      </c>
      <c r="AV27" s="349" t="s">
        <v>790</v>
      </c>
      <c r="AW27" s="253"/>
      <c r="AZ27" s="351" t="s">
        <v>623</v>
      </c>
    </row>
    <row r="28" spans="1:56" s="253" customFormat="1" ht="50" hidden="1" x14ac:dyDescent="0.25">
      <c r="A28" s="106" t="s">
        <v>372</v>
      </c>
      <c r="B28" s="307" t="s">
        <v>1028</v>
      </c>
      <c r="C28" s="308" t="s">
        <v>100</v>
      </c>
      <c r="D28" s="255"/>
      <c r="E28" s="255"/>
      <c r="F28" s="255"/>
      <c r="G28" s="548" t="s">
        <v>100</v>
      </c>
      <c r="H28" s="255"/>
      <c r="I28" s="301" t="b">
        <f t="shared" si="4"/>
        <v>0</v>
      </c>
      <c r="J28" s="301" t="str">
        <f t="shared" si="5"/>
        <v/>
      </c>
      <c r="K28" s="301" t="str">
        <f t="shared" si="6"/>
        <v/>
      </c>
      <c r="L28" s="131" t="b">
        <f t="shared" si="7"/>
        <v>0</v>
      </c>
      <c r="M28" s="253" t="s">
        <v>348</v>
      </c>
      <c r="N28" s="253" t="b">
        <v>1</v>
      </c>
      <c r="O28" s="253" t="s">
        <v>357</v>
      </c>
      <c r="P28" s="253" t="b">
        <v>1</v>
      </c>
      <c r="Q28" s="116"/>
      <c r="R28" s="116"/>
      <c r="S28" s="116"/>
      <c r="T28" s="116">
        <v>8.0000000000000002E-3</v>
      </c>
      <c r="U28" s="117">
        <v>1</v>
      </c>
      <c r="V28" s="117">
        <v>1.5</v>
      </c>
      <c r="W28" s="117">
        <v>2</v>
      </c>
      <c r="X28" s="117">
        <v>1</v>
      </c>
      <c r="Y28" s="302">
        <f>IFERROR(IF(Inputs!$D$29='Drop-downs'!$K$21,R28,Q28)*Calculations!$D$64,0)/1000</f>
        <v>0</v>
      </c>
      <c r="Z28" s="302">
        <f>IFERROR(S28*Calculations!$D$65,0)</f>
        <v>0</v>
      </c>
      <c r="AA28" s="302">
        <f>IFERROR(T28*Calculations!$D$67,0)</f>
        <v>4800</v>
      </c>
      <c r="AB28" s="303">
        <f>IFERROR(Y28*Calculations!$I$64,0)</f>
        <v>0</v>
      </c>
      <c r="AC28" s="303">
        <f>IFERROR(Z28*Calculations!$I$65,0)</f>
        <v>0</v>
      </c>
      <c r="AD28" s="303">
        <f>IFERROR(AA28*Calculations!$I$67,0)</f>
        <v>18600</v>
      </c>
      <c r="AE28" s="306">
        <f t="shared" si="13"/>
        <v>0</v>
      </c>
      <c r="AF28" s="121">
        <f t="shared" si="14"/>
        <v>18600</v>
      </c>
      <c r="AG28" s="120">
        <f t="shared" si="15"/>
        <v>27900</v>
      </c>
      <c r="AH28" s="303">
        <f>IFERROR(Y28*Calculations!$J$64,0)</f>
        <v>0</v>
      </c>
      <c r="AI28" s="303">
        <f>IFERROR(Z28*Calculations!$J$65,0)</f>
        <v>0</v>
      </c>
      <c r="AJ28" s="303">
        <f>IFERROR(AA28*Calculations!$J$67,0)</f>
        <v>18600</v>
      </c>
      <c r="AK28" s="306">
        <f t="shared" si="8"/>
        <v>0</v>
      </c>
      <c r="AL28" s="121">
        <f t="shared" si="9"/>
        <v>18600</v>
      </c>
      <c r="AM28" s="206">
        <f t="shared" si="16"/>
        <v>1.125</v>
      </c>
      <c r="AN28" s="206">
        <f t="shared" si="17"/>
        <v>1.5</v>
      </c>
      <c r="AO28" s="206">
        <f t="shared" si="18"/>
        <v>1.875</v>
      </c>
      <c r="AP28" s="220" t="b">
        <f t="shared" si="19"/>
        <v>0</v>
      </c>
      <c r="AQ28" s="304" t="b">
        <f>IFERROR(AN28&lt;=Inputs!$P$51,FALSE)</f>
        <v>1</v>
      </c>
      <c r="AR28" s="554">
        <f>IF($G28="yes",IFERROR(Y28/Calculations!$C$228*Calculations!$G$228,0),0)</f>
        <v>0</v>
      </c>
      <c r="AS28" s="554">
        <f>IF($G28="yes",IFERROR(Z28/Calculations!$C$232*Calculations!$G$232,0),0)</f>
        <v>0</v>
      </c>
      <c r="AT28" s="554">
        <f t="shared" si="20"/>
        <v>0</v>
      </c>
      <c r="AU28" s="206" t="b">
        <f t="shared" si="12"/>
        <v>0</v>
      </c>
      <c r="AV28" s="349" t="s">
        <v>790</v>
      </c>
      <c r="AZ28" s="351" t="s">
        <v>624</v>
      </c>
      <c r="BA28" s="4"/>
    </row>
    <row r="29" spans="1:56" s="253" customFormat="1" ht="50" hidden="1" x14ac:dyDescent="0.25">
      <c r="A29" s="106" t="s">
        <v>538</v>
      </c>
      <c r="B29" s="307" t="s">
        <v>1029</v>
      </c>
      <c r="C29" s="308" t="s">
        <v>100</v>
      </c>
      <c r="D29" s="255"/>
      <c r="E29" s="255"/>
      <c r="F29" s="255"/>
      <c r="G29" s="548" t="s">
        <v>100</v>
      </c>
      <c r="H29" s="255"/>
      <c r="I29" s="301" t="b">
        <f t="shared" si="4"/>
        <v>1</v>
      </c>
      <c r="J29" s="301" t="str">
        <f t="shared" si="5"/>
        <v/>
      </c>
      <c r="K29" s="301" t="str">
        <f t="shared" si="6"/>
        <v/>
      </c>
      <c r="L29" s="131" t="b">
        <f t="shared" si="7"/>
        <v>1</v>
      </c>
      <c r="M29" s="253" t="s">
        <v>348</v>
      </c>
      <c r="N29" s="253" t="b">
        <v>1</v>
      </c>
      <c r="O29" s="253" t="s">
        <v>357</v>
      </c>
      <c r="P29" s="253" t="b">
        <v>1</v>
      </c>
      <c r="Q29" s="116"/>
      <c r="R29" s="116"/>
      <c r="S29" s="116"/>
      <c r="T29" s="116">
        <v>2.0000000000000004E-2</v>
      </c>
      <c r="U29" s="117">
        <v>0.8</v>
      </c>
      <c r="V29" s="117">
        <v>1</v>
      </c>
      <c r="W29" s="117">
        <v>1.2</v>
      </c>
      <c r="X29" s="117">
        <v>1</v>
      </c>
      <c r="Y29" s="302">
        <f>IFERROR(IF(Inputs!$D$29='Drop-downs'!$K$21,R29,Q29)*Calculations!$D$64,0)/1000</f>
        <v>0</v>
      </c>
      <c r="Z29" s="302">
        <f>IFERROR(S29*Calculations!$D$65,0)</f>
        <v>0</v>
      </c>
      <c r="AA29" s="302">
        <f>IFERROR(T29*Calculations!$D$67,0)</f>
        <v>12000.000000000002</v>
      </c>
      <c r="AB29" s="303">
        <f>IFERROR(Y29*Calculations!$I$64,0)</f>
        <v>0</v>
      </c>
      <c r="AC29" s="303">
        <f>IFERROR(Z29*Calculations!$I$65,0)</f>
        <v>0</v>
      </c>
      <c r="AD29" s="303">
        <f>IFERROR(AA29*Calculations!$I$67,0)</f>
        <v>46500.000000000007</v>
      </c>
      <c r="AE29" s="306">
        <f t="shared" si="13"/>
        <v>0</v>
      </c>
      <c r="AF29" s="121">
        <f t="shared" si="14"/>
        <v>46500.000000000007</v>
      </c>
      <c r="AG29" s="120">
        <f t="shared" si="15"/>
        <v>46500.000000000007</v>
      </c>
      <c r="AH29" s="303">
        <f>IFERROR(Y29*Calculations!$J$64,0)</f>
        <v>0</v>
      </c>
      <c r="AI29" s="303">
        <f>IFERROR(Z29*Calculations!$J$65,0)</f>
        <v>0</v>
      </c>
      <c r="AJ29" s="303">
        <f>IFERROR(AA29*Calculations!$J$67,0)</f>
        <v>46500.000000000007</v>
      </c>
      <c r="AK29" s="306">
        <f t="shared" si="8"/>
        <v>0</v>
      </c>
      <c r="AL29" s="121">
        <f t="shared" si="9"/>
        <v>46500.000000000007</v>
      </c>
      <c r="AM29" s="206">
        <f t="shared" si="16"/>
        <v>0.75</v>
      </c>
      <c r="AN29" s="206">
        <f t="shared" si="17"/>
        <v>1</v>
      </c>
      <c r="AO29" s="206">
        <f t="shared" si="18"/>
        <v>1.25</v>
      </c>
      <c r="AP29" s="220" t="b">
        <f t="shared" si="19"/>
        <v>0</v>
      </c>
      <c r="AQ29" s="304" t="b">
        <f>IFERROR(AN29&lt;=Inputs!$P$51,FALSE)</f>
        <v>1</v>
      </c>
      <c r="AR29" s="554">
        <f>IF($G29="yes",IFERROR(Y29/Calculations!$C$228*Calculations!$G$228,0),0)</f>
        <v>0</v>
      </c>
      <c r="AS29" s="554">
        <f>IF($G29="yes",IFERROR(Z29/Calculations!$C$232*Calculations!$G$232,0),0)</f>
        <v>0</v>
      </c>
      <c r="AT29" s="554">
        <f t="shared" si="20"/>
        <v>0</v>
      </c>
      <c r="AU29" s="206" t="b">
        <f t="shared" si="12"/>
        <v>1</v>
      </c>
      <c r="AV29" s="349" t="s">
        <v>790</v>
      </c>
      <c r="AZ29" s="351" t="s">
        <v>625</v>
      </c>
      <c r="BA29" s="4"/>
    </row>
    <row r="30" spans="1:56" s="253" customFormat="1" ht="37.5" hidden="1" x14ac:dyDescent="0.25">
      <c r="A30" s="106" t="s">
        <v>538</v>
      </c>
      <c r="B30" s="307" t="s">
        <v>1030</v>
      </c>
      <c r="C30" s="308" t="s">
        <v>100</v>
      </c>
      <c r="D30" s="255"/>
      <c r="E30" s="255"/>
      <c r="F30" s="255"/>
      <c r="G30" s="548" t="s">
        <v>100</v>
      </c>
      <c r="H30" s="255"/>
      <c r="I30" s="301" t="b">
        <f t="shared" si="4"/>
        <v>1</v>
      </c>
      <c r="J30" s="301" t="str">
        <f t="shared" si="5"/>
        <v/>
      </c>
      <c r="K30" s="301" t="str">
        <f t="shared" si="6"/>
        <v/>
      </c>
      <c r="L30" s="131" t="b">
        <f t="shared" si="7"/>
        <v>1</v>
      </c>
      <c r="M30" s="253" t="s">
        <v>348</v>
      </c>
      <c r="N30" s="253" t="b">
        <v>1</v>
      </c>
      <c r="O30" s="253" t="s">
        <v>357</v>
      </c>
      <c r="P30" s="253" t="b">
        <v>1</v>
      </c>
      <c r="Q30" s="116"/>
      <c r="R30" s="116"/>
      <c r="S30" s="116"/>
      <c r="T30" s="116">
        <v>5.0000000000000001E-4</v>
      </c>
      <c r="U30" s="117">
        <v>3</v>
      </c>
      <c r="V30" s="117">
        <v>4</v>
      </c>
      <c r="W30" s="117">
        <v>5</v>
      </c>
      <c r="X30" s="117">
        <v>1</v>
      </c>
      <c r="Y30" s="302">
        <f>IFERROR(IF(Inputs!$D$29='Drop-downs'!$K$21,R30,Q30)*Calculations!$D$64,0)/1000</f>
        <v>0</v>
      </c>
      <c r="Z30" s="302">
        <f>IFERROR(S30*Calculations!$D$65,0)</f>
        <v>0</v>
      </c>
      <c r="AA30" s="302">
        <f>IFERROR(T30*Calculations!$D$67,0)</f>
        <v>300</v>
      </c>
      <c r="AB30" s="303">
        <f>IFERROR(Y30*Calculations!$I$64,0)</f>
        <v>0</v>
      </c>
      <c r="AC30" s="303">
        <f>IFERROR(Z30*Calculations!$I$65,0)</f>
        <v>0</v>
      </c>
      <c r="AD30" s="303">
        <f>IFERROR(AA30*Calculations!$I$67,0)</f>
        <v>1162.5</v>
      </c>
      <c r="AE30" s="306">
        <f t="shared" si="13"/>
        <v>0</v>
      </c>
      <c r="AF30" s="121">
        <f t="shared" si="14"/>
        <v>1162.5</v>
      </c>
      <c r="AG30" s="120">
        <f t="shared" si="15"/>
        <v>4650</v>
      </c>
      <c r="AH30" s="303">
        <f>IFERROR(Y30*Calculations!$J$64,0)</f>
        <v>0</v>
      </c>
      <c r="AI30" s="303">
        <f>IFERROR(Z30*Calculations!$J$65,0)</f>
        <v>0</v>
      </c>
      <c r="AJ30" s="303">
        <f>IFERROR(AA30*Calculations!$J$67,0)</f>
        <v>1162.5</v>
      </c>
      <c r="AK30" s="306">
        <f t="shared" si="8"/>
        <v>0</v>
      </c>
      <c r="AL30" s="121">
        <f t="shared" si="9"/>
        <v>1162.5</v>
      </c>
      <c r="AM30" s="206">
        <f t="shared" si="16"/>
        <v>3</v>
      </c>
      <c r="AN30" s="206">
        <f t="shared" si="17"/>
        <v>4</v>
      </c>
      <c r="AO30" s="206">
        <f t="shared" si="18"/>
        <v>5</v>
      </c>
      <c r="AP30" s="220" t="b">
        <f t="shared" si="19"/>
        <v>0</v>
      </c>
      <c r="AQ30" s="304" t="b">
        <f>IFERROR(AN30&lt;=Inputs!$P$51,FALSE)</f>
        <v>0</v>
      </c>
      <c r="AR30" s="554">
        <f>IF($G30="yes",IFERROR(Y30/Calculations!$C$228*Calculations!$G$228,0),0)</f>
        <v>0</v>
      </c>
      <c r="AS30" s="554">
        <f>IF($G30="yes",IFERROR(Z30/Calculations!$C$232*Calculations!$G$232,0),0)</f>
        <v>0</v>
      </c>
      <c r="AT30" s="554">
        <f t="shared" si="20"/>
        <v>0</v>
      </c>
      <c r="AU30" s="206" t="b">
        <f t="shared" si="12"/>
        <v>0</v>
      </c>
      <c r="AV30" s="349" t="s">
        <v>790</v>
      </c>
      <c r="AZ30" s="351" t="s">
        <v>626</v>
      </c>
      <c r="BA30" s="4"/>
    </row>
    <row r="31" spans="1:56" s="253" customFormat="1" ht="37.5" hidden="1" x14ac:dyDescent="0.25">
      <c r="A31" s="106" t="s">
        <v>538</v>
      </c>
      <c r="B31" s="307" t="s">
        <v>1031</v>
      </c>
      <c r="C31" s="308" t="s">
        <v>100</v>
      </c>
      <c r="D31" s="255"/>
      <c r="E31" s="255"/>
      <c r="F31" s="255"/>
      <c r="G31" s="548" t="s">
        <v>100</v>
      </c>
      <c r="H31" s="255"/>
      <c r="I31" s="301" t="b">
        <f t="shared" si="4"/>
        <v>1</v>
      </c>
      <c r="J31" s="301" t="str">
        <f t="shared" si="5"/>
        <v/>
      </c>
      <c r="K31" s="301" t="str">
        <f t="shared" si="6"/>
        <v/>
      </c>
      <c r="L31" s="131" t="b">
        <f t="shared" si="7"/>
        <v>1</v>
      </c>
      <c r="M31" s="253" t="s">
        <v>348</v>
      </c>
      <c r="N31" s="253" t="b">
        <v>1</v>
      </c>
      <c r="O31" s="253" t="s">
        <v>357</v>
      </c>
      <c r="P31" s="253" t="b">
        <v>1</v>
      </c>
      <c r="Q31" s="116"/>
      <c r="R31" s="116"/>
      <c r="S31" s="116"/>
      <c r="T31" s="116">
        <v>1.3000000000000001E-2</v>
      </c>
      <c r="U31" s="117">
        <v>1</v>
      </c>
      <c r="V31" s="117">
        <v>1.5</v>
      </c>
      <c r="W31" s="117">
        <v>2</v>
      </c>
      <c r="X31" s="117">
        <v>1</v>
      </c>
      <c r="Y31" s="302">
        <f>IFERROR(IF(Inputs!$D$29='Drop-downs'!$K$21,R31,Q31)*Calculations!$D$64,0)/1000</f>
        <v>0</v>
      </c>
      <c r="Z31" s="302">
        <f>IFERROR(S31*Calculations!$D$65,0)</f>
        <v>0</v>
      </c>
      <c r="AA31" s="302">
        <f>IFERROR(T31*Calculations!$D$67,0)</f>
        <v>7800.0000000000009</v>
      </c>
      <c r="AB31" s="303">
        <f>IFERROR(Y31*Calculations!$I$64,0)</f>
        <v>0</v>
      </c>
      <c r="AC31" s="303">
        <f>IFERROR(Z31*Calculations!$I$65,0)</f>
        <v>0</v>
      </c>
      <c r="AD31" s="303">
        <f>IFERROR(AA31*Calculations!$I$67,0)</f>
        <v>30225.000000000004</v>
      </c>
      <c r="AE31" s="306">
        <f t="shared" si="13"/>
        <v>0</v>
      </c>
      <c r="AF31" s="121">
        <f t="shared" si="14"/>
        <v>30225.000000000004</v>
      </c>
      <c r="AG31" s="120">
        <f t="shared" si="15"/>
        <v>45337.500000000007</v>
      </c>
      <c r="AH31" s="303">
        <f>IFERROR(Y31*Calculations!$J$64,0)</f>
        <v>0</v>
      </c>
      <c r="AI31" s="303">
        <f>IFERROR(Z31*Calculations!$J$65,0)</f>
        <v>0</v>
      </c>
      <c r="AJ31" s="303">
        <f>IFERROR(AA31*Calculations!$J$67,0)</f>
        <v>30225.000000000004</v>
      </c>
      <c r="AK31" s="306">
        <f t="shared" si="8"/>
        <v>0</v>
      </c>
      <c r="AL31" s="121">
        <f t="shared" si="9"/>
        <v>30225.000000000004</v>
      </c>
      <c r="AM31" s="206">
        <f t="shared" si="16"/>
        <v>1.125</v>
      </c>
      <c r="AN31" s="206">
        <f t="shared" si="17"/>
        <v>1.5</v>
      </c>
      <c r="AO31" s="206">
        <f t="shared" si="18"/>
        <v>1.875</v>
      </c>
      <c r="AP31" s="220" t="b">
        <f t="shared" si="19"/>
        <v>0</v>
      </c>
      <c r="AQ31" s="304" t="b">
        <f>IFERROR(AN31&lt;=Inputs!$P$51,FALSE)</f>
        <v>1</v>
      </c>
      <c r="AR31" s="554">
        <f>IF($G31="yes",IFERROR(Y31/Calculations!$C$228*Calculations!$G$228,0),0)</f>
        <v>0</v>
      </c>
      <c r="AS31" s="554">
        <f>IF($G31="yes",IFERROR(Z31/Calculations!$C$232*Calculations!$G$232,0),0)</f>
        <v>0</v>
      </c>
      <c r="AT31" s="554">
        <f t="shared" si="20"/>
        <v>0</v>
      </c>
      <c r="AU31" s="206" t="b">
        <f t="shared" si="12"/>
        <v>1</v>
      </c>
      <c r="AV31" s="349" t="s">
        <v>790</v>
      </c>
      <c r="AZ31" s="351" t="s">
        <v>627</v>
      </c>
      <c r="BA31" s="4"/>
    </row>
    <row r="32" spans="1:56" s="253" customFormat="1" ht="25" hidden="1" x14ac:dyDescent="0.25">
      <c r="A32" s="106" t="s">
        <v>538</v>
      </c>
      <c r="B32" s="307" t="s">
        <v>1032</v>
      </c>
      <c r="C32" s="308" t="s">
        <v>100</v>
      </c>
      <c r="D32" s="255"/>
      <c r="E32" s="255"/>
      <c r="F32" s="255"/>
      <c r="G32" s="548" t="s">
        <v>100</v>
      </c>
      <c r="H32" s="255"/>
      <c r="I32" s="301" t="b">
        <f t="shared" si="4"/>
        <v>1</v>
      </c>
      <c r="J32" s="301" t="str">
        <f t="shared" si="5"/>
        <v/>
      </c>
      <c r="K32" s="301" t="str">
        <f t="shared" si="6"/>
        <v/>
      </c>
      <c r="L32" s="131" t="b">
        <f t="shared" si="7"/>
        <v>1</v>
      </c>
      <c r="M32" s="253" t="s">
        <v>348</v>
      </c>
      <c r="N32" s="253" t="b">
        <v>1</v>
      </c>
      <c r="O32" s="253" t="s">
        <v>357</v>
      </c>
      <c r="P32" s="253" t="b">
        <v>1</v>
      </c>
      <c r="Q32" s="116"/>
      <c r="R32" s="116"/>
      <c r="S32" s="116"/>
      <c r="T32" s="116">
        <v>2.4000000000000004E-2</v>
      </c>
      <c r="U32" s="117">
        <v>0.5</v>
      </c>
      <c r="V32" s="117">
        <v>1</v>
      </c>
      <c r="W32" s="117">
        <v>1.5</v>
      </c>
      <c r="X32" s="117">
        <v>1</v>
      </c>
      <c r="Y32" s="302">
        <f>IFERROR(IF(Inputs!$D$29='Drop-downs'!$K$21,R32,Q32)*Calculations!$D$64,0)/1000</f>
        <v>0</v>
      </c>
      <c r="Z32" s="302">
        <f>IFERROR(S32*Calculations!$D$65,0)</f>
        <v>0</v>
      </c>
      <c r="AA32" s="302">
        <f>IFERROR(T32*Calculations!$D$67,0)</f>
        <v>14400.000000000002</v>
      </c>
      <c r="AB32" s="303">
        <f>IFERROR(Y32*Calculations!$I$64,0)</f>
        <v>0</v>
      </c>
      <c r="AC32" s="303">
        <f>IFERROR(Z32*Calculations!$I$65,0)</f>
        <v>0</v>
      </c>
      <c r="AD32" s="303">
        <f>IFERROR(AA32*Calculations!$I$67,0)</f>
        <v>55800.000000000007</v>
      </c>
      <c r="AE32" s="306">
        <f t="shared" si="13"/>
        <v>0</v>
      </c>
      <c r="AF32" s="121">
        <f t="shared" si="14"/>
        <v>55800.000000000007</v>
      </c>
      <c r="AG32" s="120">
        <f t="shared" si="15"/>
        <v>55800.000000000007</v>
      </c>
      <c r="AH32" s="303">
        <f>IFERROR(Y32*Calculations!$J$64,0)</f>
        <v>0</v>
      </c>
      <c r="AI32" s="303">
        <f>IFERROR(Z32*Calculations!$J$65,0)</f>
        <v>0</v>
      </c>
      <c r="AJ32" s="303">
        <f>IFERROR(AA32*Calculations!$J$67,0)</f>
        <v>55800.000000000007</v>
      </c>
      <c r="AK32" s="306">
        <f t="shared" si="8"/>
        <v>0</v>
      </c>
      <c r="AL32" s="121">
        <f t="shared" si="9"/>
        <v>55800.000000000007</v>
      </c>
      <c r="AM32" s="206">
        <f t="shared" si="16"/>
        <v>0.75</v>
      </c>
      <c r="AN32" s="206">
        <f t="shared" si="17"/>
        <v>1</v>
      </c>
      <c r="AO32" s="206">
        <f t="shared" si="18"/>
        <v>1.25</v>
      </c>
      <c r="AP32" s="220" t="b">
        <f t="shared" si="19"/>
        <v>0</v>
      </c>
      <c r="AQ32" s="304" t="b">
        <f>IFERROR(AN32&lt;=Inputs!$P$51,FALSE)</f>
        <v>1</v>
      </c>
      <c r="AR32" s="554">
        <f>IF($G32="yes",IFERROR(Y32/Calculations!$C$228*Calculations!$G$228,0),0)</f>
        <v>0</v>
      </c>
      <c r="AS32" s="554">
        <f>IF($G32="yes",IFERROR(Z32/Calculations!$C$232*Calculations!$G$232,0),0)</f>
        <v>0</v>
      </c>
      <c r="AT32" s="554">
        <f t="shared" si="20"/>
        <v>0</v>
      </c>
      <c r="AU32" s="206" t="b">
        <f t="shared" si="12"/>
        <v>1</v>
      </c>
      <c r="AV32" s="349" t="s">
        <v>790</v>
      </c>
      <c r="AZ32" s="351" t="s">
        <v>628</v>
      </c>
      <c r="BA32" s="4"/>
    </row>
    <row r="33" spans="1:53" s="253" customFormat="1" ht="50" hidden="1" x14ac:dyDescent="0.25">
      <c r="A33" s="106" t="s">
        <v>538</v>
      </c>
      <c r="B33" s="307" t="s">
        <v>1033</v>
      </c>
      <c r="C33" s="308" t="s">
        <v>100</v>
      </c>
      <c r="D33" s="255"/>
      <c r="E33" s="255"/>
      <c r="F33" s="255"/>
      <c r="G33" s="548" t="s">
        <v>100</v>
      </c>
      <c r="H33" s="255"/>
      <c r="I33" s="301" t="b">
        <f t="shared" si="4"/>
        <v>1</v>
      </c>
      <c r="J33" s="301" t="str">
        <f t="shared" si="5"/>
        <v/>
      </c>
      <c r="K33" s="301" t="str">
        <f t="shared" si="6"/>
        <v/>
      </c>
      <c r="L33" s="131" t="b">
        <f t="shared" si="7"/>
        <v>1</v>
      </c>
      <c r="M33" s="253" t="s">
        <v>348</v>
      </c>
      <c r="N33" s="253" t="b">
        <v>1</v>
      </c>
      <c r="O33" s="253" t="s">
        <v>357</v>
      </c>
      <c r="P33" s="253" t="b">
        <v>1</v>
      </c>
      <c r="Q33" s="116"/>
      <c r="R33" s="116"/>
      <c r="S33" s="116"/>
      <c r="T33" s="116">
        <v>2.0000000000000004E-2</v>
      </c>
      <c r="U33" s="117">
        <v>0.25</v>
      </c>
      <c r="V33" s="117">
        <v>0.5</v>
      </c>
      <c r="W33" s="117">
        <v>1</v>
      </c>
      <c r="X33" s="117">
        <v>1</v>
      </c>
      <c r="Y33" s="302">
        <f>IFERROR(IF(Inputs!$D$29='Drop-downs'!$K$21,R33,Q33)*Calculations!$D$64,0)/1000</f>
        <v>0</v>
      </c>
      <c r="Z33" s="302">
        <f>IFERROR(S33*Calculations!$D$65,0)</f>
        <v>0</v>
      </c>
      <c r="AA33" s="302">
        <f>IFERROR(T33*Calculations!$D$67,0)</f>
        <v>12000.000000000002</v>
      </c>
      <c r="AB33" s="303">
        <f>IFERROR(Y33*Calculations!$I$64,0)</f>
        <v>0</v>
      </c>
      <c r="AC33" s="303">
        <f>IFERROR(Z33*Calculations!$I$65,0)</f>
        <v>0</v>
      </c>
      <c r="AD33" s="303">
        <f>IFERROR(AA33*Calculations!$I$67,0)</f>
        <v>46500.000000000007</v>
      </c>
      <c r="AE33" s="306">
        <f t="shared" si="13"/>
        <v>0</v>
      </c>
      <c r="AF33" s="121">
        <f t="shared" si="14"/>
        <v>46500.000000000007</v>
      </c>
      <c r="AG33" s="120">
        <f t="shared" si="15"/>
        <v>23250.000000000004</v>
      </c>
      <c r="AH33" s="303">
        <f>IFERROR(Y33*Calculations!$J$64,0)</f>
        <v>0</v>
      </c>
      <c r="AI33" s="303">
        <f>IFERROR(Z33*Calculations!$J$65,0)</f>
        <v>0</v>
      </c>
      <c r="AJ33" s="303">
        <f>IFERROR(AA33*Calculations!$J$67,0)</f>
        <v>46500.000000000007</v>
      </c>
      <c r="AK33" s="306">
        <f t="shared" si="8"/>
        <v>0</v>
      </c>
      <c r="AL33" s="121">
        <f t="shared" si="9"/>
        <v>46500.000000000007</v>
      </c>
      <c r="AM33" s="206">
        <f t="shared" si="16"/>
        <v>0.375</v>
      </c>
      <c r="AN33" s="206">
        <f t="shared" si="17"/>
        <v>0.5</v>
      </c>
      <c r="AO33" s="206">
        <f t="shared" si="18"/>
        <v>0.625</v>
      </c>
      <c r="AP33" s="220" t="b">
        <f t="shared" si="19"/>
        <v>0</v>
      </c>
      <c r="AQ33" s="304" t="b">
        <f>IFERROR(AN33&lt;=Inputs!$P$51,FALSE)</f>
        <v>1</v>
      </c>
      <c r="AR33" s="554">
        <f>IF($G33="yes",IFERROR(Y33/Calculations!$C$228*Calculations!$G$228,0),0)</f>
        <v>0</v>
      </c>
      <c r="AS33" s="554">
        <f>IF($G33="yes",IFERROR(Z33/Calculations!$C$232*Calculations!$G$232,0),0)</f>
        <v>0</v>
      </c>
      <c r="AT33" s="554">
        <f t="shared" si="20"/>
        <v>0</v>
      </c>
      <c r="AU33" s="206" t="b">
        <f t="shared" si="12"/>
        <v>1</v>
      </c>
      <c r="AV33" s="349" t="s">
        <v>790</v>
      </c>
      <c r="AZ33" s="351" t="s">
        <v>629</v>
      </c>
      <c r="BA33" s="4"/>
    </row>
    <row r="34" spans="1:53" s="253" customFormat="1" ht="50" hidden="1" x14ac:dyDescent="0.25">
      <c r="A34" s="106" t="s">
        <v>538</v>
      </c>
      <c r="B34" s="307" t="s">
        <v>1034</v>
      </c>
      <c r="C34" s="308" t="s">
        <v>100</v>
      </c>
      <c r="D34" s="255"/>
      <c r="E34" s="255"/>
      <c r="F34" s="255"/>
      <c r="G34" s="548" t="s">
        <v>100</v>
      </c>
      <c r="H34" s="255"/>
      <c r="I34" s="301" t="b">
        <f t="shared" si="4"/>
        <v>1</v>
      </c>
      <c r="J34" s="301" t="str">
        <f t="shared" si="5"/>
        <v/>
      </c>
      <c r="K34" s="301" t="str">
        <f t="shared" si="6"/>
        <v/>
      </c>
      <c r="L34" s="131" t="b">
        <f t="shared" si="7"/>
        <v>1</v>
      </c>
      <c r="M34" s="253" t="s">
        <v>348</v>
      </c>
      <c r="N34" s="253" t="b">
        <v>1</v>
      </c>
      <c r="O34" s="253" t="s">
        <v>357</v>
      </c>
      <c r="P34" s="253" t="b">
        <v>1</v>
      </c>
      <c r="Q34" s="116"/>
      <c r="R34" s="116"/>
      <c r="S34" s="116"/>
      <c r="T34" s="116">
        <v>5.000000000000001E-3</v>
      </c>
      <c r="U34" s="117">
        <v>0.25</v>
      </c>
      <c r="V34" s="117">
        <v>0.5</v>
      </c>
      <c r="W34" s="117">
        <v>1</v>
      </c>
      <c r="X34" s="117">
        <v>1</v>
      </c>
      <c r="Y34" s="302">
        <f>IFERROR(IF(Inputs!$D$29='Drop-downs'!$K$21,R34,Q34)*Calculations!$D$64,0)/1000</f>
        <v>0</v>
      </c>
      <c r="Z34" s="302">
        <f>IFERROR(S34*Calculations!$D$65,0)</f>
        <v>0</v>
      </c>
      <c r="AA34" s="302">
        <f>IFERROR(T34*Calculations!$D$67,0)</f>
        <v>3000.0000000000005</v>
      </c>
      <c r="AB34" s="303">
        <f>IFERROR(Y34*Calculations!$I$64,0)</f>
        <v>0</v>
      </c>
      <c r="AC34" s="303">
        <f>IFERROR(Z34*Calculations!$I$65,0)</f>
        <v>0</v>
      </c>
      <c r="AD34" s="303">
        <f>IFERROR(AA34*Calculations!$I$67,0)</f>
        <v>11625.000000000002</v>
      </c>
      <c r="AE34" s="306">
        <f t="shared" si="13"/>
        <v>0</v>
      </c>
      <c r="AF34" s="121">
        <f t="shared" si="14"/>
        <v>11625.000000000002</v>
      </c>
      <c r="AG34" s="120">
        <f t="shared" si="15"/>
        <v>5812.5000000000009</v>
      </c>
      <c r="AH34" s="303">
        <f>IFERROR(Y34*Calculations!$J$64,0)</f>
        <v>0</v>
      </c>
      <c r="AI34" s="303">
        <f>IFERROR(Z34*Calculations!$J$65,0)</f>
        <v>0</v>
      </c>
      <c r="AJ34" s="303">
        <f>IFERROR(AA34*Calculations!$J$67,0)</f>
        <v>11625.000000000002</v>
      </c>
      <c r="AK34" s="306">
        <f t="shared" si="8"/>
        <v>0</v>
      </c>
      <c r="AL34" s="121">
        <f t="shared" si="9"/>
        <v>11625.000000000002</v>
      </c>
      <c r="AM34" s="206">
        <f t="shared" si="16"/>
        <v>0.375</v>
      </c>
      <c r="AN34" s="206">
        <f t="shared" si="17"/>
        <v>0.5</v>
      </c>
      <c r="AO34" s="206">
        <f t="shared" si="18"/>
        <v>0.625</v>
      </c>
      <c r="AP34" s="220" t="b">
        <f t="shared" si="19"/>
        <v>0</v>
      </c>
      <c r="AQ34" s="304" t="b">
        <f>IFERROR(AN34&lt;=Inputs!$P$51,FALSE)</f>
        <v>1</v>
      </c>
      <c r="AR34" s="554">
        <f>IF($G34="yes",IFERROR(Y34/Calculations!$C$228*Calculations!$G$228,0),0)</f>
        <v>0</v>
      </c>
      <c r="AS34" s="554">
        <f>IF($G34="yes",IFERROR(Z34/Calculations!$C$232*Calculations!$G$232,0),0)</f>
        <v>0</v>
      </c>
      <c r="AT34" s="554">
        <f t="shared" si="20"/>
        <v>0</v>
      </c>
      <c r="AU34" s="206" t="b">
        <f t="shared" si="12"/>
        <v>1</v>
      </c>
      <c r="AV34" s="349" t="s">
        <v>790</v>
      </c>
      <c r="AZ34" s="351" t="s">
        <v>630</v>
      </c>
      <c r="BA34" s="4"/>
    </row>
    <row r="35" spans="1:53" s="253" customFormat="1" ht="50" hidden="1" x14ac:dyDescent="0.25">
      <c r="A35" s="106" t="s">
        <v>538</v>
      </c>
      <c r="B35" s="307" t="s">
        <v>1035</v>
      </c>
      <c r="C35" s="308" t="s">
        <v>100</v>
      </c>
      <c r="D35" s="255"/>
      <c r="E35" s="255"/>
      <c r="F35" s="255"/>
      <c r="G35" s="548" t="s">
        <v>100</v>
      </c>
      <c r="H35" s="255"/>
      <c r="I35" s="301" t="b">
        <f t="shared" si="4"/>
        <v>1</v>
      </c>
      <c r="J35" s="301" t="str">
        <f t="shared" si="5"/>
        <v/>
      </c>
      <c r="K35" s="301" t="str">
        <f t="shared" si="6"/>
        <v/>
      </c>
      <c r="L35" s="131" t="b">
        <f t="shared" si="7"/>
        <v>1</v>
      </c>
      <c r="M35" s="253" t="s">
        <v>348</v>
      </c>
      <c r="N35" s="253" t="b">
        <v>1</v>
      </c>
      <c r="O35" s="253" t="s">
        <v>357</v>
      </c>
      <c r="P35" s="253" t="b">
        <v>1</v>
      </c>
      <c r="Q35" s="116"/>
      <c r="R35" s="116"/>
      <c r="S35" s="116"/>
      <c r="T35" s="116">
        <v>0.06</v>
      </c>
      <c r="U35" s="117">
        <v>1</v>
      </c>
      <c r="V35" s="117">
        <v>1.5</v>
      </c>
      <c r="W35" s="117">
        <v>2</v>
      </c>
      <c r="X35" s="117">
        <v>1</v>
      </c>
      <c r="Y35" s="302">
        <f>IFERROR(IF(Inputs!$D$29='Drop-downs'!$K$21,R35,Q35)*Calculations!$D$64,0)/1000</f>
        <v>0</v>
      </c>
      <c r="Z35" s="302">
        <f>IFERROR(S35*Calculations!$D$65,0)</f>
        <v>0</v>
      </c>
      <c r="AA35" s="302">
        <f>IFERROR(T35*Calculations!$D$67,0)</f>
        <v>36000</v>
      </c>
      <c r="AB35" s="303">
        <f>IFERROR(Y35*Calculations!$I$64,0)</f>
        <v>0</v>
      </c>
      <c r="AC35" s="303">
        <f>IFERROR(Z35*Calculations!$I$65,0)</f>
        <v>0</v>
      </c>
      <c r="AD35" s="303">
        <f>IFERROR(AA35*Calculations!$I$67,0)</f>
        <v>139500</v>
      </c>
      <c r="AE35" s="306">
        <f t="shared" si="13"/>
        <v>0</v>
      </c>
      <c r="AF35" s="121">
        <f t="shared" si="14"/>
        <v>139500</v>
      </c>
      <c r="AG35" s="120">
        <f t="shared" si="15"/>
        <v>209250</v>
      </c>
      <c r="AH35" s="303">
        <f>IFERROR(Y35*Calculations!$J$64,0)</f>
        <v>0</v>
      </c>
      <c r="AI35" s="303">
        <f>IFERROR(Z35*Calculations!$J$65,0)</f>
        <v>0</v>
      </c>
      <c r="AJ35" s="303">
        <f>IFERROR(AA35*Calculations!$J$67,0)</f>
        <v>139500</v>
      </c>
      <c r="AK35" s="306">
        <f t="shared" si="8"/>
        <v>0</v>
      </c>
      <c r="AL35" s="121">
        <f t="shared" si="9"/>
        <v>139500</v>
      </c>
      <c r="AM35" s="206">
        <f t="shared" si="16"/>
        <v>1.125</v>
      </c>
      <c r="AN35" s="206">
        <f t="shared" si="17"/>
        <v>1.5</v>
      </c>
      <c r="AO35" s="206">
        <f t="shared" si="18"/>
        <v>1.875</v>
      </c>
      <c r="AP35" s="220" t="b">
        <f t="shared" si="19"/>
        <v>0</v>
      </c>
      <c r="AQ35" s="304" t="b">
        <f>IFERROR(AN35&lt;=Inputs!$P$51,FALSE)</f>
        <v>1</v>
      </c>
      <c r="AR35" s="554">
        <f>IF($G35="yes",IFERROR(Y35/Calculations!$C$228*Calculations!$G$228,0),0)</f>
        <v>0</v>
      </c>
      <c r="AS35" s="554">
        <f>IF($G35="yes",IFERROR(Z35/Calculations!$C$232*Calculations!$G$232,0),0)</f>
        <v>0</v>
      </c>
      <c r="AT35" s="554">
        <f t="shared" si="20"/>
        <v>0</v>
      </c>
      <c r="AU35" s="206" t="b">
        <f t="shared" si="12"/>
        <v>1</v>
      </c>
      <c r="AV35" s="349" t="s">
        <v>790</v>
      </c>
      <c r="AZ35" s="351" t="s">
        <v>631</v>
      </c>
      <c r="BA35" s="4"/>
    </row>
    <row r="36" spans="1:53" s="253" customFormat="1" ht="25" hidden="1" x14ac:dyDescent="0.25">
      <c r="A36" s="106" t="s">
        <v>538</v>
      </c>
      <c r="B36" s="307" t="s">
        <v>1036</v>
      </c>
      <c r="C36" s="308" t="s">
        <v>100</v>
      </c>
      <c r="D36" s="255"/>
      <c r="E36" s="255"/>
      <c r="F36" s="255"/>
      <c r="G36" s="548" t="s">
        <v>100</v>
      </c>
      <c r="H36" s="255"/>
      <c r="I36" s="301" t="b">
        <f t="shared" si="4"/>
        <v>1</v>
      </c>
      <c r="J36" s="301" t="str">
        <f t="shared" si="5"/>
        <v/>
      </c>
      <c r="K36" s="301" t="str">
        <f t="shared" si="6"/>
        <v/>
      </c>
      <c r="L36" s="131" t="b">
        <f t="shared" si="7"/>
        <v>1</v>
      </c>
      <c r="M36" s="253" t="s">
        <v>348</v>
      </c>
      <c r="N36" s="253" t="b">
        <v>1</v>
      </c>
      <c r="O36" s="253" t="s">
        <v>357</v>
      </c>
      <c r="P36" s="253" t="b">
        <v>1</v>
      </c>
      <c r="Q36" s="116"/>
      <c r="R36" s="116"/>
      <c r="S36" s="116"/>
      <c r="T36" s="116">
        <v>4.2000000000000003E-2</v>
      </c>
      <c r="U36" s="117">
        <v>0.5</v>
      </c>
      <c r="V36" s="117">
        <v>1</v>
      </c>
      <c r="W36" s="117">
        <v>1.5</v>
      </c>
      <c r="X36" s="117">
        <v>1</v>
      </c>
      <c r="Y36" s="302">
        <f>IFERROR(IF(Inputs!$D$29='Drop-downs'!$K$21,R36,Q36)*Calculations!$D$64,0)/1000</f>
        <v>0</v>
      </c>
      <c r="Z36" s="302">
        <f>IFERROR(S36*Calculations!$D$65,0)</f>
        <v>0</v>
      </c>
      <c r="AA36" s="302">
        <f>IFERROR(T36*Calculations!$D$67,0)</f>
        <v>25200</v>
      </c>
      <c r="AB36" s="303">
        <f>IFERROR(Y36*Calculations!$I$64,0)</f>
        <v>0</v>
      </c>
      <c r="AC36" s="303">
        <f>IFERROR(Z36*Calculations!$I$65,0)</f>
        <v>0</v>
      </c>
      <c r="AD36" s="303">
        <f>IFERROR(AA36*Calculations!$I$67,0)</f>
        <v>97650</v>
      </c>
      <c r="AE36" s="306">
        <f t="shared" si="13"/>
        <v>0</v>
      </c>
      <c r="AF36" s="121">
        <f t="shared" si="14"/>
        <v>97650</v>
      </c>
      <c r="AG36" s="120">
        <f t="shared" si="15"/>
        <v>97650</v>
      </c>
      <c r="AH36" s="303">
        <f>IFERROR(Y36*Calculations!$J$64,0)</f>
        <v>0</v>
      </c>
      <c r="AI36" s="303">
        <f>IFERROR(Z36*Calculations!$J$65,0)</f>
        <v>0</v>
      </c>
      <c r="AJ36" s="303">
        <f>IFERROR(AA36*Calculations!$J$67,0)</f>
        <v>97650</v>
      </c>
      <c r="AK36" s="306">
        <f t="shared" si="8"/>
        <v>0</v>
      </c>
      <c r="AL36" s="121">
        <f t="shared" si="9"/>
        <v>97650</v>
      </c>
      <c r="AM36" s="206">
        <f t="shared" si="16"/>
        <v>0.75</v>
      </c>
      <c r="AN36" s="206">
        <f t="shared" si="17"/>
        <v>1</v>
      </c>
      <c r="AO36" s="206">
        <f t="shared" si="18"/>
        <v>1.25</v>
      </c>
      <c r="AP36" s="220" t="b">
        <f t="shared" si="19"/>
        <v>0</v>
      </c>
      <c r="AQ36" s="304" t="b">
        <f>IFERROR(AN36&lt;=Inputs!$P$51,FALSE)</f>
        <v>1</v>
      </c>
      <c r="AR36" s="554">
        <f>IF($G36="yes",IFERROR(Y36/Calculations!$C$228*Calculations!$G$228,0),0)</f>
        <v>0</v>
      </c>
      <c r="AS36" s="554">
        <f>IF($G36="yes",IFERROR(Z36/Calculations!$C$232*Calculations!$G$232,0),0)</f>
        <v>0</v>
      </c>
      <c r="AT36" s="554">
        <f t="shared" si="20"/>
        <v>0</v>
      </c>
      <c r="AU36" s="206" t="b">
        <f t="shared" si="12"/>
        <v>1</v>
      </c>
      <c r="AV36" s="349" t="s">
        <v>790</v>
      </c>
      <c r="AZ36" s="351" t="s">
        <v>632</v>
      </c>
      <c r="BA36" s="4"/>
    </row>
    <row r="37" spans="1:53" s="253" customFormat="1" ht="25" hidden="1" x14ac:dyDescent="0.25">
      <c r="A37" s="106" t="s">
        <v>538</v>
      </c>
      <c r="B37" s="307" t="s">
        <v>557</v>
      </c>
      <c r="C37" s="308" t="s">
        <v>100</v>
      </c>
      <c r="D37" s="255"/>
      <c r="E37" s="255"/>
      <c r="F37" s="255"/>
      <c r="G37" s="548" t="s">
        <v>100</v>
      </c>
      <c r="H37" s="255"/>
      <c r="I37" s="301" t="b">
        <f t="shared" si="4"/>
        <v>1</v>
      </c>
      <c r="J37" s="301" t="str">
        <f t="shared" si="5"/>
        <v/>
      </c>
      <c r="K37" s="301" t="str">
        <f t="shared" si="6"/>
        <v/>
      </c>
      <c r="L37" s="131" t="b">
        <f t="shared" si="7"/>
        <v>1</v>
      </c>
      <c r="M37" s="253" t="s">
        <v>348</v>
      </c>
      <c r="N37" s="253" t="b">
        <v>1</v>
      </c>
      <c r="O37" s="253" t="s">
        <v>357</v>
      </c>
      <c r="P37" s="253" t="b">
        <v>1</v>
      </c>
      <c r="Q37" s="116"/>
      <c r="R37" s="116"/>
      <c r="S37" s="116"/>
      <c r="T37" s="116">
        <v>1.5000000000000001E-2</v>
      </c>
      <c r="U37" s="117">
        <v>5</v>
      </c>
      <c r="V37" s="117">
        <v>6</v>
      </c>
      <c r="W37" s="117">
        <v>7</v>
      </c>
      <c r="X37" s="117">
        <v>1</v>
      </c>
      <c r="Y37" s="302">
        <f>IFERROR(IF(Inputs!$D$29='Drop-downs'!$K$21,R37,Q37)*Calculations!$D$64,0)/1000</f>
        <v>0</v>
      </c>
      <c r="Z37" s="302">
        <f>IFERROR(S37*Calculations!$D$65,0)</f>
        <v>0</v>
      </c>
      <c r="AA37" s="302">
        <f>IFERROR(T37*Calculations!$D$67,0)</f>
        <v>9000</v>
      </c>
      <c r="AB37" s="303">
        <f>IFERROR(Y37*Calculations!$I$64,0)</f>
        <v>0</v>
      </c>
      <c r="AC37" s="303">
        <f>IFERROR(Z37*Calculations!$I$65,0)</f>
        <v>0</v>
      </c>
      <c r="AD37" s="303">
        <f>IFERROR(AA37*Calculations!$I$67,0)</f>
        <v>34875</v>
      </c>
      <c r="AE37" s="306">
        <f t="shared" si="13"/>
        <v>0</v>
      </c>
      <c r="AF37" s="121">
        <f t="shared" si="14"/>
        <v>34875</v>
      </c>
      <c r="AG37" s="120">
        <f t="shared" si="15"/>
        <v>209250</v>
      </c>
      <c r="AH37" s="303">
        <f>IFERROR(Y37*Calculations!$J$64,0)</f>
        <v>0</v>
      </c>
      <c r="AI37" s="303">
        <f>IFERROR(Z37*Calculations!$J$65,0)</f>
        <v>0</v>
      </c>
      <c r="AJ37" s="303">
        <f>IFERROR(AA37*Calculations!$J$67,0)</f>
        <v>34875</v>
      </c>
      <c r="AK37" s="306">
        <f t="shared" si="8"/>
        <v>0</v>
      </c>
      <c r="AL37" s="121">
        <f t="shared" si="9"/>
        <v>34875</v>
      </c>
      <c r="AM37" s="206">
        <f t="shared" si="16"/>
        <v>4.5</v>
      </c>
      <c r="AN37" s="206">
        <f t="shared" si="17"/>
        <v>6</v>
      </c>
      <c r="AO37" s="206">
        <f t="shared" si="18"/>
        <v>7.5</v>
      </c>
      <c r="AP37" s="220" t="b">
        <f t="shared" si="19"/>
        <v>0</v>
      </c>
      <c r="AQ37" s="304" t="b">
        <f>IFERROR(AN37&lt;=Inputs!$P$51,FALSE)</f>
        <v>0</v>
      </c>
      <c r="AR37" s="554">
        <f>IF($G37="yes",IFERROR(Y37/Calculations!$C$228*Calculations!$G$228,0),0)</f>
        <v>0</v>
      </c>
      <c r="AS37" s="554">
        <f>IF($G37="yes",IFERROR(Z37/Calculations!$C$232*Calculations!$G$232,0),0)</f>
        <v>0</v>
      </c>
      <c r="AT37" s="554">
        <f t="shared" si="20"/>
        <v>0</v>
      </c>
      <c r="AU37" s="206" t="b">
        <f t="shared" si="12"/>
        <v>0</v>
      </c>
      <c r="AV37" s="349" t="s">
        <v>790</v>
      </c>
      <c r="AZ37" s="351" t="s">
        <v>633</v>
      </c>
      <c r="BA37" s="4"/>
    </row>
    <row r="38" spans="1:53" s="253" customFormat="1" ht="37.5" hidden="1" x14ac:dyDescent="0.25">
      <c r="A38" s="106" t="s">
        <v>538</v>
      </c>
      <c r="B38" s="307" t="s">
        <v>1037</v>
      </c>
      <c r="C38" s="308" t="s">
        <v>100</v>
      </c>
      <c r="D38" s="255"/>
      <c r="E38" s="255"/>
      <c r="F38" s="255"/>
      <c r="G38" s="548" t="s">
        <v>100</v>
      </c>
      <c r="H38" s="255"/>
      <c r="I38" s="301" t="b">
        <f t="shared" si="4"/>
        <v>1</v>
      </c>
      <c r="J38" s="301" t="str">
        <f t="shared" si="5"/>
        <v/>
      </c>
      <c r="K38" s="301" t="str">
        <f t="shared" si="6"/>
        <v/>
      </c>
      <c r="L38" s="131" t="b">
        <f t="shared" si="7"/>
        <v>1</v>
      </c>
      <c r="M38" s="253" t="s">
        <v>348</v>
      </c>
      <c r="N38" s="253" t="b">
        <v>1</v>
      </c>
      <c r="O38" s="253" t="s">
        <v>357</v>
      </c>
      <c r="P38" s="253" t="b">
        <v>1</v>
      </c>
      <c r="Q38" s="355"/>
      <c r="R38" s="355"/>
      <c r="S38" s="355"/>
      <c r="T38" s="355">
        <v>3.0000000000000002E-2</v>
      </c>
      <c r="U38" s="454">
        <v>1</v>
      </c>
      <c r="V38" s="454">
        <v>1.5</v>
      </c>
      <c r="W38" s="454">
        <v>2</v>
      </c>
      <c r="X38" s="454">
        <v>1</v>
      </c>
      <c r="Y38" s="302">
        <f>IFERROR(IF(Inputs!$D$29='Drop-downs'!$K$21,R38,Q38)*Calculations!$D$64,0)/1000</f>
        <v>0</v>
      </c>
      <c r="Z38" s="302">
        <f>IFERROR(S38*Calculations!$D$65,0)</f>
        <v>0</v>
      </c>
      <c r="AA38" s="302">
        <f>IFERROR(T38*Calculations!$D$67,0)</f>
        <v>18000</v>
      </c>
      <c r="AB38" s="303">
        <f>IFERROR(Y38*Calculations!$I$64,0)</f>
        <v>0</v>
      </c>
      <c r="AC38" s="303">
        <f>IFERROR(Z38*Calculations!$I$65,0)</f>
        <v>0</v>
      </c>
      <c r="AD38" s="303">
        <f>IFERROR(AA38*Calculations!$I$67,0)</f>
        <v>69750</v>
      </c>
      <c r="AE38" s="306">
        <f t="shared" si="13"/>
        <v>0</v>
      </c>
      <c r="AF38" s="121">
        <f t="shared" si="14"/>
        <v>69750</v>
      </c>
      <c r="AG38" s="120">
        <f t="shared" si="15"/>
        <v>104625</v>
      </c>
      <c r="AH38" s="303">
        <f>IFERROR(Y38*Calculations!$J$64,0)</f>
        <v>0</v>
      </c>
      <c r="AI38" s="303">
        <f>IFERROR(Z38*Calculations!$J$65,0)</f>
        <v>0</v>
      </c>
      <c r="AJ38" s="303">
        <f>IFERROR(AA38*Calculations!$J$67,0)</f>
        <v>69750</v>
      </c>
      <c r="AK38" s="306">
        <f t="shared" si="8"/>
        <v>0</v>
      </c>
      <c r="AL38" s="121">
        <f t="shared" si="9"/>
        <v>69750</v>
      </c>
      <c r="AM38" s="206">
        <f t="shared" si="16"/>
        <v>1.125</v>
      </c>
      <c r="AN38" s="206">
        <f t="shared" si="17"/>
        <v>1.5</v>
      </c>
      <c r="AO38" s="206">
        <f t="shared" si="18"/>
        <v>1.875</v>
      </c>
      <c r="AP38" s="220" t="b">
        <f t="shared" si="19"/>
        <v>0</v>
      </c>
      <c r="AQ38" s="304" t="b">
        <f>IFERROR(AN38&lt;=Inputs!$P$51,FALSE)</f>
        <v>1</v>
      </c>
      <c r="AR38" s="554">
        <f>IF($G38="yes",IFERROR(Y38/Calculations!$C$228*Calculations!$G$228,0),0)</f>
        <v>0</v>
      </c>
      <c r="AS38" s="554">
        <f>IF($G38="yes",IFERROR(Z38/Calculations!$C$232*Calculations!$G$232,0),0)</f>
        <v>0</v>
      </c>
      <c r="AT38" s="554">
        <f t="shared" si="20"/>
        <v>0</v>
      </c>
      <c r="AU38" s="206" t="b">
        <f t="shared" si="12"/>
        <v>1</v>
      </c>
      <c r="AV38" s="349" t="s">
        <v>790</v>
      </c>
      <c r="AZ38" s="351" t="s">
        <v>634</v>
      </c>
      <c r="BA38" s="4"/>
    </row>
    <row r="39" spans="1:53" s="253" customFormat="1" ht="25" hidden="1" x14ac:dyDescent="0.25">
      <c r="A39" s="106" t="s">
        <v>538</v>
      </c>
      <c r="B39" s="307" t="s">
        <v>1038</v>
      </c>
      <c r="C39" s="308" t="s">
        <v>100</v>
      </c>
      <c r="D39" s="255"/>
      <c r="E39" s="255"/>
      <c r="F39" s="255"/>
      <c r="G39" s="548" t="s">
        <v>100</v>
      </c>
      <c r="H39" s="255"/>
      <c r="I39" s="301" t="b">
        <f t="shared" si="4"/>
        <v>1</v>
      </c>
      <c r="J39" s="301" t="str">
        <f t="shared" si="5"/>
        <v/>
      </c>
      <c r="K39" s="301" t="str">
        <f t="shared" si="6"/>
        <v/>
      </c>
      <c r="L39" s="131" t="b">
        <f t="shared" si="7"/>
        <v>1</v>
      </c>
      <c r="M39" s="253" t="s">
        <v>348</v>
      </c>
      <c r="N39" s="253" t="b">
        <v>1</v>
      </c>
      <c r="O39" s="253" t="s">
        <v>357</v>
      </c>
      <c r="P39" s="253" t="b">
        <v>1</v>
      </c>
      <c r="Q39" s="355"/>
      <c r="R39" s="355"/>
      <c r="S39" s="355"/>
      <c r="T39" s="355">
        <v>1.0000000000000002E-2</v>
      </c>
      <c r="U39" s="454">
        <v>2</v>
      </c>
      <c r="V39" s="454">
        <v>3</v>
      </c>
      <c r="W39" s="454">
        <v>5</v>
      </c>
      <c r="X39" s="454">
        <v>1</v>
      </c>
      <c r="Y39" s="302">
        <f>IFERROR(IF(Inputs!$D$29='Drop-downs'!$K$21,R39,Q39)*Calculations!$D$64,0)/1000</f>
        <v>0</v>
      </c>
      <c r="Z39" s="302">
        <f>IFERROR(S39*Calculations!$D$65,0)</f>
        <v>0</v>
      </c>
      <c r="AA39" s="302">
        <f>IFERROR(T39*Calculations!$D$67,0)</f>
        <v>6000.0000000000009</v>
      </c>
      <c r="AB39" s="303">
        <f>IFERROR(Y39*Calculations!$I$64,0)</f>
        <v>0</v>
      </c>
      <c r="AC39" s="303">
        <f>IFERROR(Z39*Calculations!$I$65,0)</f>
        <v>0</v>
      </c>
      <c r="AD39" s="303">
        <f>IFERROR(AA39*Calculations!$I$67,0)</f>
        <v>23250.000000000004</v>
      </c>
      <c r="AE39" s="306">
        <f t="shared" si="13"/>
        <v>0</v>
      </c>
      <c r="AF39" s="121">
        <f t="shared" si="14"/>
        <v>23250.000000000004</v>
      </c>
      <c r="AG39" s="120">
        <f t="shared" si="15"/>
        <v>69750.000000000015</v>
      </c>
      <c r="AH39" s="303">
        <f>IFERROR(Y39*Calculations!$J$64,0)</f>
        <v>0</v>
      </c>
      <c r="AI39" s="303">
        <f>IFERROR(Z39*Calculations!$J$65,0)</f>
        <v>0</v>
      </c>
      <c r="AJ39" s="303">
        <f>IFERROR(AA39*Calculations!$J$67,0)</f>
        <v>23250.000000000004</v>
      </c>
      <c r="AK39" s="306">
        <f t="shared" si="8"/>
        <v>0</v>
      </c>
      <c r="AL39" s="121">
        <f t="shared" si="9"/>
        <v>23250.000000000004</v>
      </c>
      <c r="AM39" s="206">
        <f t="shared" si="16"/>
        <v>2.25</v>
      </c>
      <c r="AN39" s="206">
        <f t="shared" si="17"/>
        <v>3</v>
      </c>
      <c r="AO39" s="206">
        <f t="shared" si="18"/>
        <v>3.75</v>
      </c>
      <c r="AP39" s="220" t="b">
        <f t="shared" si="19"/>
        <v>0</v>
      </c>
      <c r="AQ39" s="304" t="b">
        <f>IFERROR(AN39&lt;=Inputs!$P$51,FALSE)</f>
        <v>1</v>
      </c>
      <c r="AR39" s="554">
        <f>IF($G39="yes",IFERROR(Y39/Calculations!$C$228*Calculations!$G$228,0),0)</f>
        <v>0</v>
      </c>
      <c r="AS39" s="554">
        <f>IF($G39="yes",IFERROR(Z39/Calculations!$C$232*Calculations!$G$232,0),0)</f>
        <v>0</v>
      </c>
      <c r="AT39" s="554">
        <f t="shared" si="20"/>
        <v>0</v>
      </c>
      <c r="AU39" s="206" t="b">
        <f t="shared" si="12"/>
        <v>1</v>
      </c>
      <c r="AV39" s="349" t="s">
        <v>790</v>
      </c>
      <c r="AZ39" s="351" t="s">
        <v>635</v>
      </c>
      <c r="BA39" s="4"/>
    </row>
    <row r="40" spans="1:53" s="253" customFormat="1" ht="50" hidden="1" x14ac:dyDescent="0.25">
      <c r="A40" s="106" t="s">
        <v>538</v>
      </c>
      <c r="B40" s="307" t="s">
        <v>1039</v>
      </c>
      <c r="C40" s="308" t="s">
        <v>100</v>
      </c>
      <c r="D40" s="255"/>
      <c r="E40" s="255"/>
      <c r="F40" s="255"/>
      <c r="G40" s="548" t="s">
        <v>100</v>
      </c>
      <c r="H40" s="255"/>
      <c r="I40" s="301" t="b">
        <f t="shared" si="4"/>
        <v>1</v>
      </c>
      <c r="J40" s="301" t="str">
        <f t="shared" si="5"/>
        <v/>
      </c>
      <c r="K40" s="301" t="str">
        <f t="shared" si="6"/>
        <v/>
      </c>
      <c r="L40" s="131" t="b">
        <f t="shared" si="7"/>
        <v>1</v>
      </c>
      <c r="M40" s="253" t="s">
        <v>348</v>
      </c>
      <c r="N40" s="253" t="b">
        <v>1</v>
      </c>
      <c r="O40" s="253" t="s">
        <v>357</v>
      </c>
      <c r="P40" s="253" t="b">
        <v>1</v>
      </c>
      <c r="Q40" s="355"/>
      <c r="R40" s="355"/>
      <c r="S40" s="355"/>
      <c r="T40" s="355">
        <v>3.2876712328767134E-2</v>
      </c>
      <c r="U40" s="454">
        <v>1</v>
      </c>
      <c r="V40" s="454">
        <v>2</v>
      </c>
      <c r="W40" s="454">
        <v>3</v>
      </c>
      <c r="X40" s="454">
        <v>1</v>
      </c>
      <c r="Y40" s="302">
        <f>IFERROR(IF(Inputs!$D$29='Drop-downs'!$K$21,R40,Q40)*Calculations!$D$64,0)/1000</f>
        <v>0</v>
      </c>
      <c r="Z40" s="302">
        <f>IFERROR(S40*Calculations!$D$65,0)</f>
        <v>0</v>
      </c>
      <c r="AA40" s="302">
        <f>IFERROR(T40*Calculations!$D$67,0)</f>
        <v>19726.027397260281</v>
      </c>
      <c r="AB40" s="303">
        <f>IFERROR(Y40*Calculations!$I$64,0)</f>
        <v>0</v>
      </c>
      <c r="AC40" s="303">
        <f>IFERROR(Z40*Calculations!$I$65,0)</f>
        <v>0</v>
      </c>
      <c r="AD40" s="303">
        <f>IFERROR(AA40*Calculations!$I$67,0)</f>
        <v>76438.356164383586</v>
      </c>
      <c r="AE40" s="306">
        <f t="shared" si="13"/>
        <v>0</v>
      </c>
      <c r="AF40" s="121">
        <f t="shared" si="14"/>
        <v>76438.356164383586</v>
      </c>
      <c r="AG40" s="120">
        <f t="shared" si="15"/>
        <v>152876.71232876717</v>
      </c>
      <c r="AH40" s="303">
        <f>IFERROR(Y40*Calculations!$J$64,0)</f>
        <v>0</v>
      </c>
      <c r="AI40" s="303">
        <f>IFERROR(Z40*Calculations!$J$65,0)</f>
        <v>0</v>
      </c>
      <c r="AJ40" s="303">
        <f>IFERROR(AA40*Calculations!$J$67,0)</f>
        <v>76438.356164383586</v>
      </c>
      <c r="AK40" s="306">
        <f t="shared" si="8"/>
        <v>0</v>
      </c>
      <c r="AL40" s="121">
        <f t="shared" si="9"/>
        <v>76438.356164383586</v>
      </c>
      <c r="AM40" s="206">
        <f t="shared" si="16"/>
        <v>1.5</v>
      </c>
      <c r="AN40" s="206">
        <f t="shared" si="17"/>
        <v>2</v>
      </c>
      <c r="AO40" s="206">
        <f t="shared" si="18"/>
        <v>2.5</v>
      </c>
      <c r="AP40" s="220" t="b">
        <f t="shared" si="19"/>
        <v>0</v>
      </c>
      <c r="AQ40" s="304" t="b">
        <f>IFERROR(AN40&lt;=Inputs!$P$51,FALSE)</f>
        <v>1</v>
      </c>
      <c r="AR40" s="554">
        <f>IF($G40="yes",IFERROR(Y40/Calculations!$C$228*Calculations!$G$228,0),0)</f>
        <v>0</v>
      </c>
      <c r="AS40" s="554">
        <f>IF($G40="yes",IFERROR(Z40/Calculations!$C$232*Calculations!$G$232,0),0)</f>
        <v>0</v>
      </c>
      <c r="AT40" s="554">
        <f t="shared" si="20"/>
        <v>0</v>
      </c>
      <c r="AU40" s="206" t="b">
        <f t="shared" si="12"/>
        <v>1</v>
      </c>
      <c r="AV40" s="349" t="s">
        <v>790</v>
      </c>
      <c r="AZ40" s="351" t="s">
        <v>636</v>
      </c>
      <c r="BA40" s="4"/>
    </row>
    <row r="41" spans="1:53" s="253" customFormat="1" ht="62.5" hidden="1" x14ac:dyDescent="0.25">
      <c r="A41" s="106" t="s">
        <v>538</v>
      </c>
      <c r="B41" s="307" t="s">
        <v>1040</v>
      </c>
      <c r="C41" s="308" t="s">
        <v>100</v>
      </c>
      <c r="D41" s="255"/>
      <c r="E41" s="255"/>
      <c r="F41" s="255"/>
      <c r="G41" s="548" t="s">
        <v>100</v>
      </c>
      <c r="H41" s="255"/>
      <c r="I41" s="301" t="b">
        <f t="shared" si="4"/>
        <v>1</v>
      </c>
      <c r="J41" s="301" t="str">
        <f t="shared" si="5"/>
        <v/>
      </c>
      <c r="K41" s="301" t="str">
        <f t="shared" si="6"/>
        <v/>
      </c>
      <c r="L41" s="131" t="b">
        <f t="shared" si="7"/>
        <v>1</v>
      </c>
      <c r="M41" s="253" t="s">
        <v>348</v>
      </c>
      <c r="N41" s="253" t="b">
        <v>1</v>
      </c>
      <c r="O41" s="253" t="s">
        <v>357</v>
      </c>
      <c r="P41" s="253" t="b">
        <v>1</v>
      </c>
      <c r="Q41" s="355"/>
      <c r="R41" s="355"/>
      <c r="S41" s="355">
        <v>0.01</v>
      </c>
      <c r="T41" s="355">
        <v>0.05</v>
      </c>
      <c r="U41" s="454">
        <v>2</v>
      </c>
      <c r="V41" s="454">
        <v>3</v>
      </c>
      <c r="W41" s="454">
        <v>4</v>
      </c>
      <c r="X41" s="454">
        <v>1</v>
      </c>
      <c r="Y41" s="302">
        <f>IFERROR(IF(Inputs!$D$29='Drop-downs'!$K$21,R41,Q41)*Calculations!$D$64,0)/1000</f>
        <v>0</v>
      </c>
      <c r="Z41" s="302">
        <f>IFERROR(S41*Calculations!$D$65,0)</f>
        <v>140000</v>
      </c>
      <c r="AA41" s="302">
        <f>IFERROR(T41*Calculations!$D$67,0)</f>
        <v>30000</v>
      </c>
      <c r="AB41" s="303">
        <f>IFERROR(Y41*Calculations!$I$64,0)</f>
        <v>0</v>
      </c>
      <c r="AC41" s="303">
        <f>IFERROR(Z41*Calculations!$I$65,0)</f>
        <v>21500</v>
      </c>
      <c r="AD41" s="303">
        <f>IFERROR(AA41*Calculations!$I$67,0)</f>
        <v>116250</v>
      </c>
      <c r="AE41" s="306">
        <f t="shared" si="13"/>
        <v>0</v>
      </c>
      <c r="AF41" s="121">
        <f t="shared" si="14"/>
        <v>137750</v>
      </c>
      <c r="AG41" s="120">
        <f t="shared" si="15"/>
        <v>413250</v>
      </c>
      <c r="AH41" s="303">
        <f>IFERROR(Y41*Calculations!$J$64,0)</f>
        <v>0</v>
      </c>
      <c r="AI41" s="303">
        <f>IFERROR(Z41*Calculations!$J$65,0)</f>
        <v>21500</v>
      </c>
      <c r="AJ41" s="303">
        <f>IFERROR(AA41*Calculations!$J$67,0)</f>
        <v>116250</v>
      </c>
      <c r="AK41" s="306">
        <f t="shared" si="8"/>
        <v>0</v>
      </c>
      <c r="AL41" s="121">
        <f t="shared" si="9"/>
        <v>137750</v>
      </c>
      <c r="AM41" s="206">
        <f t="shared" si="16"/>
        <v>2.25</v>
      </c>
      <c r="AN41" s="206">
        <f t="shared" si="17"/>
        <v>3</v>
      </c>
      <c r="AO41" s="206">
        <f t="shared" si="18"/>
        <v>3.75</v>
      </c>
      <c r="AP41" s="220" t="b">
        <f t="shared" si="19"/>
        <v>0</v>
      </c>
      <c r="AQ41" s="304" t="b">
        <f>IFERROR(AN41&lt;=Inputs!$P$51,FALSE)</f>
        <v>1</v>
      </c>
      <c r="AR41" s="554">
        <f>IF($G41="yes",IFERROR(Y41/Calculations!$C$228*Calculations!$G$228,0),0)</f>
        <v>0</v>
      </c>
      <c r="AS41" s="554">
        <f>IF($G41="yes",IFERROR(Z41/Calculations!$C$232*Calculations!$G$232,0),0)</f>
        <v>137.20000000000002</v>
      </c>
      <c r="AT41" s="554">
        <f t="shared" si="20"/>
        <v>137.20000000000002</v>
      </c>
      <c r="AU41" s="206" t="b">
        <f t="shared" si="12"/>
        <v>1</v>
      </c>
      <c r="AV41" s="349" t="s">
        <v>790</v>
      </c>
      <c r="AZ41" s="351" t="s">
        <v>637</v>
      </c>
      <c r="BA41" s="4"/>
    </row>
    <row r="42" spans="1:53" s="253" customFormat="1" ht="13" hidden="1" x14ac:dyDescent="0.3">
      <c r="A42" s="106" t="s">
        <v>538</v>
      </c>
      <c r="B42" s="450" t="s">
        <v>579</v>
      </c>
      <c r="C42" s="255"/>
      <c r="D42" s="308" t="s">
        <v>100</v>
      </c>
      <c r="E42" s="308" t="s">
        <v>100</v>
      </c>
      <c r="F42" s="255"/>
      <c r="G42" s="548" t="s">
        <v>100</v>
      </c>
      <c r="H42" s="255"/>
      <c r="I42" s="301" t="str">
        <f t="shared" si="4"/>
        <v/>
      </c>
      <c r="J42" s="301" t="b">
        <f t="shared" si="5"/>
        <v>1</v>
      </c>
      <c r="K42" s="301" t="str">
        <f t="shared" si="6"/>
        <v/>
      </c>
      <c r="L42" s="131" t="b">
        <f t="shared" si="7"/>
        <v>1</v>
      </c>
      <c r="M42" s="253" t="s">
        <v>348</v>
      </c>
      <c r="N42" s="253" t="b">
        <v>1</v>
      </c>
      <c r="O42" s="253" t="s">
        <v>357</v>
      </c>
      <c r="P42" s="253" t="b">
        <v>1</v>
      </c>
      <c r="Q42" s="355">
        <v>0.01</v>
      </c>
      <c r="R42" s="355">
        <v>0.01</v>
      </c>
      <c r="S42" s="355">
        <v>0</v>
      </c>
      <c r="T42" s="355"/>
      <c r="U42" s="454">
        <v>2</v>
      </c>
      <c r="V42" s="454">
        <v>3</v>
      </c>
      <c r="W42" s="454">
        <v>4</v>
      </c>
      <c r="X42" s="454">
        <v>1</v>
      </c>
      <c r="Y42" s="302">
        <f>IFERROR(IF(Inputs!$D$29='Drop-downs'!$K$21,R42,Q42)*Calculations!$D$64,0)/1000</f>
        <v>1950</v>
      </c>
      <c r="Z42" s="302">
        <f>IFERROR(S42*Calculations!$D$65,0)</f>
        <v>0</v>
      </c>
      <c r="AA42" s="302">
        <f>IFERROR(T42*Calculations!$D$67,0)</f>
        <v>0</v>
      </c>
      <c r="AB42" s="303">
        <f>IFERROR(Y42*Calculations!$I$64,0)</f>
        <v>2480</v>
      </c>
      <c r="AC42" s="303">
        <f>IFERROR(Z42*Calculations!$I$65,0)</f>
        <v>0</v>
      </c>
      <c r="AD42" s="303">
        <f>IFERROR(AA42*Calculations!$I$67,0)</f>
        <v>0</v>
      </c>
      <c r="AE42" s="306">
        <f t="shared" si="13"/>
        <v>0</v>
      </c>
      <c r="AF42" s="121">
        <f t="shared" si="14"/>
        <v>2480</v>
      </c>
      <c r="AG42" s="120">
        <f t="shared" si="15"/>
        <v>7440</v>
      </c>
      <c r="AH42" s="303">
        <f>IFERROR(Y42*Calculations!$J$64,0)</f>
        <v>2480</v>
      </c>
      <c r="AI42" s="303">
        <f>IFERROR(Z42*Calculations!$J$65,0)</f>
        <v>0</v>
      </c>
      <c r="AJ42" s="303">
        <f>IFERROR(AA42*Calculations!$J$67,0)</f>
        <v>0</v>
      </c>
      <c r="AK42" s="306">
        <f t="shared" si="8"/>
        <v>0</v>
      </c>
      <c r="AL42" s="121">
        <f t="shared" si="9"/>
        <v>2480</v>
      </c>
      <c r="AM42" s="206">
        <f t="shared" si="16"/>
        <v>2.25</v>
      </c>
      <c r="AN42" s="206">
        <f t="shared" si="17"/>
        <v>3</v>
      </c>
      <c r="AO42" s="206">
        <f t="shared" si="18"/>
        <v>3.75</v>
      </c>
      <c r="AP42" s="220" t="b">
        <f t="shared" si="19"/>
        <v>0</v>
      </c>
      <c r="AQ42" s="304" t="b">
        <f>IFERROR(AN42&lt;=Inputs!$P$51,FALSE)</f>
        <v>1</v>
      </c>
      <c r="AR42" s="554">
        <f>IF($G42="yes",IFERROR(Y42/Calculations!$C$228*Calculations!$G$228,0),0)</f>
        <v>100.48350000000001</v>
      </c>
      <c r="AS42" s="554">
        <f>IF($G42="yes",IFERROR(Z42/Calculations!$C$232*Calculations!$G$232,0),0)</f>
        <v>0</v>
      </c>
      <c r="AT42" s="554">
        <f t="shared" si="20"/>
        <v>100.48350000000001</v>
      </c>
      <c r="AU42" s="206" t="b">
        <f t="shared" si="12"/>
        <v>1</v>
      </c>
      <c r="AV42" s="455"/>
      <c r="AZ42" s="351" t="s">
        <v>638</v>
      </c>
      <c r="BA42" s="4"/>
    </row>
    <row r="43" spans="1:53" s="253" customFormat="1" ht="13" hidden="1" x14ac:dyDescent="0.3">
      <c r="A43" s="106" t="s">
        <v>538</v>
      </c>
      <c r="B43" s="450" t="s">
        <v>580</v>
      </c>
      <c r="C43" s="255"/>
      <c r="D43" s="308" t="s">
        <v>100</v>
      </c>
      <c r="E43" s="308" t="s">
        <v>100</v>
      </c>
      <c r="F43" s="255"/>
      <c r="G43" s="548" t="s">
        <v>100</v>
      </c>
      <c r="H43" s="255"/>
      <c r="I43" s="301" t="str">
        <f t="shared" si="4"/>
        <v/>
      </c>
      <c r="J43" s="301" t="b">
        <f t="shared" si="5"/>
        <v>1</v>
      </c>
      <c r="K43" s="301" t="str">
        <f t="shared" si="6"/>
        <v/>
      </c>
      <c r="L43" s="131" t="b">
        <f t="shared" si="7"/>
        <v>1</v>
      </c>
      <c r="M43" s="253" t="s">
        <v>348</v>
      </c>
      <c r="N43" s="253" t="b">
        <v>1</v>
      </c>
      <c r="O43" s="253" t="s">
        <v>357</v>
      </c>
      <c r="P43" s="253" t="b">
        <v>1</v>
      </c>
      <c r="Q43" s="355">
        <v>0.05</v>
      </c>
      <c r="R43" s="355">
        <v>7.0000000000000007E-2</v>
      </c>
      <c r="S43" s="355">
        <v>0</v>
      </c>
      <c r="T43" s="355"/>
      <c r="U43" s="454">
        <v>3</v>
      </c>
      <c r="V43" s="454">
        <v>4</v>
      </c>
      <c r="W43" s="454">
        <v>5</v>
      </c>
      <c r="X43" s="454">
        <v>1</v>
      </c>
      <c r="Y43" s="302">
        <f>IFERROR(IF(Inputs!$D$29='Drop-downs'!$K$21,R43,Q43)*Calculations!$D$64,0)/1000</f>
        <v>9750</v>
      </c>
      <c r="Z43" s="302">
        <f>IFERROR(S43*Calculations!$D$65,0)</f>
        <v>0</v>
      </c>
      <c r="AA43" s="302">
        <f>IFERROR(T43*Calculations!$D$67,0)</f>
        <v>0</v>
      </c>
      <c r="AB43" s="303">
        <f>IFERROR(Y43*Calculations!$I$64,0)</f>
        <v>12400</v>
      </c>
      <c r="AC43" s="303">
        <f>IFERROR(Z43*Calculations!$I$65,0)</f>
        <v>0</v>
      </c>
      <c r="AD43" s="303">
        <f>IFERROR(AA43*Calculations!$I$67,0)</f>
        <v>0</v>
      </c>
      <c r="AE43" s="306">
        <f t="shared" si="13"/>
        <v>0</v>
      </c>
      <c r="AF43" s="121">
        <f t="shared" si="14"/>
        <v>12400</v>
      </c>
      <c r="AG43" s="120">
        <f t="shared" si="15"/>
        <v>49600</v>
      </c>
      <c r="AH43" s="303">
        <f>IFERROR(Y43*Calculations!$J$64,0)</f>
        <v>12400</v>
      </c>
      <c r="AI43" s="303">
        <f>IFERROR(Z43*Calculations!$J$65,0)</f>
        <v>0</v>
      </c>
      <c r="AJ43" s="303">
        <f>IFERROR(AA43*Calculations!$J$67,0)</f>
        <v>0</v>
      </c>
      <c r="AK43" s="306">
        <f t="shared" si="8"/>
        <v>0</v>
      </c>
      <c r="AL43" s="121">
        <f t="shared" si="9"/>
        <v>12400</v>
      </c>
      <c r="AM43" s="206">
        <f t="shared" si="16"/>
        <v>3</v>
      </c>
      <c r="AN43" s="206">
        <f t="shared" si="17"/>
        <v>4</v>
      </c>
      <c r="AO43" s="206">
        <f t="shared" si="18"/>
        <v>5</v>
      </c>
      <c r="AP43" s="220" t="b">
        <f t="shared" si="19"/>
        <v>0</v>
      </c>
      <c r="AQ43" s="304" t="b">
        <f>IFERROR(AN43&lt;=Inputs!$P$51,FALSE)</f>
        <v>0</v>
      </c>
      <c r="AR43" s="554">
        <f>IF($G43="yes",IFERROR(Y43/Calculations!$C$228*Calculations!$G$228,0),0)</f>
        <v>502.41750000000002</v>
      </c>
      <c r="AS43" s="554">
        <f>IF($G43="yes",IFERROR(Z43/Calculations!$C$232*Calculations!$G$232,0),0)</f>
        <v>0</v>
      </c>
      <c r="AT43" s="554">
        <f t="shared" si="20"/>
        <v>502.41750000000002</v>
      </c>
      <c r="AU43" s="206" t="b">
        <f t="shared" si="12"/>
        <v>0</v>
      </c>
      <c r="AV43" s="350" t="s">
        <v>955</v>
      </c>
      <c r="AZ43" s="351" t="s">
        <v>639</v>
      </c>
      <c r="BA43" s="4"/>
    </row>
    <row r="44" spans="1:53" s="253" customFormat="1" hidden="1" x14ac:dyDescent="0.25">
      <c r="A44" s="106" t="s">
        <v>538</v>
      </c>
      <c r="B44" s="299" t="s">
        <v>585</v>
      </c>
      <c r="C44" s="255"/>
      <c r="D44" s="308" t="s">
        <v>100</v>
      </c>
      <c r="E44" s="308" t="s">
        <v>100</v>
      </c>
      <c r="F44" s="255"/>
      <c r="G44" s="548" t="s">
        <v>100</v>
      </c>
      <c r="H44" s="255"/>
      <c r="I44" s="301" t="str">
        <f t="shared" si="4"/>
        <v/>
      </c>
      <c r="J44" s="301" t="b">
        <f t="shared" si="5"/>
        <v>1</v>
      </c>
      <c r="K44" s="301" t="str">
        <f t="shared" si="6"/>
        <v/>
      </c>
      <c r="L44" s="131" t="b">
        <f t="shared" si="7"/>
        <v>1</v>
      </c>
      <c r="M44" s="253" t="s">
        <v>348</v>
      </c>
      <c r="N44" s="253" t="b">
        <v>1</v>
      </c>
      <c r="O44" s="253" t="s">
        <v>357</v>
      </c>
      <c r="P44" s="253" t="b">
        <v>1</v>
      </c>
      <c r="Q44" s="355">
        <v>0.01</v>
      </c>
      <c r="R44" s="355">
        <v>1.4999999999999999E-2</v>
      </c>
      <c r="S44" s="355">
        <v>0</v>
      </c>
      <c r="T44" s="355"/>
      <c r="U44" s="454">
        <v>2.5</v>
      </c>
      <c r="V44" s="454">
        <v>4</v>
      </c>
      <c r="W44" s="454">
        <v>3.5</v>
      </c>
      <c r="X44" s="454">
        <v>1</v>
      </c>
      <c r="Y44" s="302">
        <f>IFERROR(IF(Inputs!$D$29='Drop-downs'!$K$21,R44,Q44)*Calculations!$D$64,0)/1000</f>
        <v>1950</v>
      </c>
      <c r="Z44" s="302">
        <f>IFERROR(S44*Calculations!$D$65,0)</f>
        <v>0</v>
      </c>
      <c r="AA44" s="302">
        <f>IFERROR(T44*Calculations!$D$67,0)</f>
        <v>0</v>
      </c>
      <c r="AB44" s="303">
        <f>IFERROR(Y44*Calculations!$I$64,0)</f>
        <v>2480</v>
      </c>
      <c r="AC44" s="303">
        <f>IFERROR(Z44*Calculations!$I$65,0)</f>
        <v>0</v>
      </c>
      <c r="AD44" s="303">
        <f>IFERROR(AA44*Calculations!$I$67,0)</f>
        <v>0</v>
      </c>
      <c r="AE44" s="306">
        <f t="shared" si="13"/>
        <v>0</v>
      </c>
      <c r="AF44" s="121">
        <f t="shared" si="14"/>
        <v>2480</v>
      </c>
      <c r="AG44" s="120">
        <f t="shared" si="15"/>
        <v>9920</v>
      </c>
      <c r="AH44" s="303">
        <f>IFERROR(Y44*Calculations!$J$64,0)</f>
        <v>2480</v>
      </c>
      <c r="AI44" s="303">
        <f>IFERROR(Z44*Calculations!$J$65,0)</f>
        <v>0</v>
      </c>
      <c r="AJ44" s="303">
        <f>IFERROR(AA44*Calculations!$J$67,0)</f>
        <v>0</v>
      </c>
      <c r="AK44" s="306">
        <f t="shared" si="8"/>
        <v>0</v>
      </c>
      <c r="AL44" s="121">
        <f t="shared" si="9"/>
        <v>2480</v>
      </c>
      <c r="AM44" s="206">
        <f t="shared" si="16"/>
        <v>3</v>
      </c>
      <c r="AN44" s="206">
        <f t="shared" si="17"/>
        <v>4</v>
      </c>
      <c r="AO44" s="206">
        <f t="shared" si="18"/>
        <v>5</v>
      </c>
      <c r="AP44" s="220" t="b">
        <f t="shared" si="19"/>
        <v>0</v>
      </c>
      <c r="AQ44" s="304" t="b">
        <f>IFERROR(AN44&lt;=Inputs!$P$51,FALSE)</f>
        <v>0</v>
      </c>
      <c r="AR44" s="554">
        <f>IF($G44="yes",IFERROR(Y44/Calculations!$C$228*Calculations!$G$228,0),0)</f>
        <v>100.48350000000001</v>
      </c>
      <c r="AS44" s="554">
        <f>IF($G44="yes",IFERROR(Z44/Calculations!$C$232*Calculations!$G$232,0),0)</f>
        <v>0</v>
      </c>
      <c r="AT44" s="554">
        <f t="shared" si="20"/>
        <v>100.48350000000001</v>
      </c>
      <c r="AU44" s="206" t="b">
        <f t="shared" si="12"/>
        <v>0</v>
      </c>
      <c r="AV44" s="350" t="s">
        <v>955</v>
      </c>
      <c r="AZ44" s="351" t="s">
        <v>640</v>
      </c>
      <c r="BA44" s="4"/>
    </row>
    <row r="45" spans="1:53" s="253" customFormat="1" hidden="1" x14ac:dyDescent="0.25">
      <c r="A45" s="106" t="s">
        <v>538</v>
      </c>
      <c r="B45" s="299" t="s">
        <v>605</v>
      </c>
      <c r="C45" s="255"/>
      <c r="D45" s="308" t="s">
        <v>100</v>
      </c>
      <c r="E45" s="308" t="s">
        <v>100</v>
      </c>
      <c r="F45" s="255"/>
      <c r="G45" s="548" t="s">
        <v>100</v>
      </c>
      <c r="H45" s="255"/>
      <c r="I45" s="301" t="str">
        <f t="shared" si="4"/>
        <v/>
      </c>
      <c r="J45" s="301" t="b">
        <f t="shared" si="5"/>
        <v>1</v>
      </c>
      <c r="K45" s="301" t="str">
        <f t="shared" si="6"/>
        <v/>
      </c>
      <c r="L45" s="131" t="b">
        <f t="shared" si="7"/>
        <v>1</v>
      </c>
      <c r="M45" s="253" t="s">
        <v>348</v>
      </c>
      <c r="N45" s="253" t="b">
        <v>1</v>
      </c>
      <c r="O45" s="253" t="s">
        <v>357</v>
      </c>
      <c r="P45" s="253" t="b">
        <v>1</v>
      </c>
      <c r="Q45" s="355">
        <v>5.0000000000000001E-3</v>
      </c>
      <c r="R45" s="355">
        <v>0.01</v>
      </c>
      <c r="S45" s="355">
        <v>0</v>
      </c>
      <c r="T45" s="355"/>
      <c r="U45" s="454">
        <v>2</v>
      </c>
      <c r="V45" s="454">
        <v>4</v>
      </c>
      <c r="W45" s="454">
        <v>4</v>
      </c>
      <c r="X45" s="454">
        <v>1</v>
      </c>
      <c r="Y45" s="302">
        <f>IFERROR(IF(Inputs!$D$29='Drop-downs'!$K$21,R45,Q45)*Calculations!$D$64,0)/1000</f>
        <v>975</v>
      </c>
      <c r="Z45" s="302">
        <f>IFERROR(S45*Calculations!$D$65,0)</f>
        <v>0</v>
      </c>
      <c r="AA45" s="302">
        <f>IFERROR(T45*Calculations!$D$67,0)</f>
        <v>0</v>
      </c>
      <c r="AB45" s="303">
        <f>IFERROR(Y45*Calculations!$I$64,0)</f>
        <v>1240</v>
      </c>
      <c r="AC45" s="303">
        <f>IFERROR(Z45*Calculations!$I$65,0)</f>
        <v>0</v>
      </c>
      <c r="AD45" s="303">
        <f>IFERROR(AA45*Calculations!$I$67,0)</f>
        <v>0</v>
      </c>
      <c r="AE45" s="306">
        <f t="shared" si="13"/>
        <v>0</v>
      </c>
      <c r="AF45" s="121">
        <f t="shared" si="14"/>
        <v>1240</v>
      </c>
      <c r="AG45" s="120">
        <f t="shared" si="15"/>
        <v>4960</v>
      </c>
      <c r="AH45" s="303">
        <f>IFERROR(Y45*Calculations!$J$64,0)</f>
        <v>1240</v>
      </c>
      <c r="AI45" s="303">
        <f>IFERROR(Z45*Calculations!$J$65,0)</f>
        <v>0</v>
      </c>
      <c r="AJ45" s="303">
        <f>IFERROR(AA45*Calculations!$J$67,0)</f>
        <v>0</v>
      </c>
      <c r="AK45" s="306">
        <f t="shared" si="8"/>
        <v>0</v>
      </c>
      <c r="AL45" s="121">
        <f t="shared" si="9"/>
        <v>1240</v>
      </c>
      <c r="AM45" s="206">
        <f t="shared" si="16"/>
        <v>3</v>
      </c>
      <c r="AN45" s="206">
        <f t="shared" si="17"/>
        <v>4</v>
      </c>
      <c r="AO45" s="206">
        <f t="shared" si="18"/>
        <v>5</v>
      </c>
      <c r="AP45" s="220" t="b">
        <f t="shared" si="19"/>
        <v>0</v>
      </c>
      <c r="AQ45" s="304" t="b">
        <f>IFERROR(AN45&lt;=Inputs!$P$51,FALSE)</f>
        <v>0</v>
      </c>
      <c r="AR45" s="554">
        <f>IF($G45="yes",IFERROR(Y45/Calculations!$C$228*Calculations!$G$228,0),0)</f>
        <v>50.241750000000003</v>
      </c>
      <c r="AS45" s="554">
        <f>IF($G45="yes",IFERROR(Z45/Calculations!$C$232*Calculations!$G$232,0),0)</f>
        <v>0</v>
      </c>
      <c r="AT45" s="554">
        <f t="shared" si="20"/>
        <v>50.241750000000003</v>
      </c>
      <c r="AU45" s="206" t="b">
        <f t="shared" si="12"/>
        <v>0</v>
      </c>
      <c r="AV45" s="350" t="s">
        <v>955</v>
      </c>
      <c r="AZ45" s="351" t="s">
        <v>641</v>
      </c>
      <c r="BA45" s="4"/>
    </row>
    <row r="46" spans="1:53" s="253" customFormat="1" hidden="1" x14ac:dyDescent="0.25">
      <c r="A46" s="106" t="s">
        <v>538</v>
      </c>
      <c r="B46" s="299" t="s">
        <v>581</v>
      </c>
      <c r="C46" s="255"/>
      <c r="D46" s="308" t="s">
        <v>100</v>
      </c>
      <c r="E46" s="308" t="s">
        <v>100</v>
      </c>
      <c r="F46" s="255"/>
      <c r="G46" s="548" t="s">
        <v>100</v>
      </c>
      <c r="H46" s="255"/>
      <c r="I46" s="301" t="str">
        <f t="shared" si="4"/>
        <v/>
      </c>
      <c r="J46" s="301" t="b">
        <f t="shared" si="5"/>
        <v>1</v>
      </c>
      <c r="K46" s="301" t="str">
        <f t="shared" si="6"/>
        <v/>
      </c>
      <c r="L46" s="131" t="b">
        <f t="shared" si="7"/>
        <v>1</v>
      </c>
      <c r="M46" s="253" t="s">
        <v>675</v>
      </c>
      <c r="N46" s="253" t="b">
        <f>NOT(Inputs!$D$29='Drop-downs'!$K$21)</f>
        <v>1</v>
      </c>
      <c r="O46" s="253" t="s">
        <v>357</v>
      </c>
      <c r="P46" s="253" t="b">
        <v>1</v>
      </c>
      <c r="Q46" s="355">
        <v>5.0000000000000001E-3</v>
      </c>
      <c r="R46" s="355">
        <v>5.0000000000000001E-3</v>
      </c>
      <c r="S46" s="355">
        <v>0</v>
      </c>
      <c r="T46" s="355"/>
      <c r="U46" s="454">
        <v>1</v>
      </c>
      <c r="V46" s="454">
        <v>2</v>
      </c>
      <c r="W46" s="454">
        <v>3</v>
      </c>
      <c r="X46" s="454">
        <v>1</v>
      </c>
      <c r="Y46" s="302">
        <f>IFERROR(IF(Inputs!$D$29='Drop-downs'!$K$21,R46,Q46)*Calculations!$D$64,0)/1000</f>
        <v>975</v>
      </c>
      <c r="Z46" s="302">
        <f>IFERROR(S46*Calculations!$D$65,0)</f>
        <v>0</v>
      </c>
      <c r="AA46" s="302">
        <f>IFERROR(T46*Calculations!$D$67,0)</f>
        <v>0</v>
      </c>
      <c r="AB46" s="303">
        <f>IFERROR(Y46*Calculations!$I$64,0)</f>
        <v>1240</v>
      </c>
      <c r="AC46" s="303">
        <f>IFERROR(Z46*Calculations!$I$65,0)</f>
        <v>0</v>
      </c>
      <c r="AD46" s="303">
        <f>IFERROR(AA46*Calculations!$I$67,0)</f>
        <v>0</v>
      </c>
      <c r="AE46" s="306">
        <f t="shared" si="13"/>
        <v>0</v>
      </c>
      <c r="AF46" s="121">
        <f t="shared" si="14"/>
        <v>1240</v>
      </c>
      <c r="AG46" s="120">
        <f t="shared" si="15"/>
        <v>2480</v>
      </c>
      <c r="AH46" s="303">
        <f>IFERROR(Y46*Calculations!$J$64,0)</f>
        <v>1240</v>
      </c>
      <c r="AI46" s="303">
        <f>IFERROR(Z46*Calculations!$J$65,0)</f>
        <v>0</v>
      </c>
      <c r="AJ46" s="303">
        <f>IFERROR(AA46*Calculations!$J$67,0)</f>
        <v>0</v>
      </c>
      <c r="AK46" s="306">
        <f t="shared" si="8"/>
        <v>0</v>
      </c>
      <c r="AL46" s="121">
        <f t="shared" si="9"/>
        <v>1240</v>
      </c>
      <c r="AM46" s="206">
        <f t="shared" si="16"/>
        <v>1.5</v>
      </c>
      <c r="AN46" s="206">
        <f t="shared" si="17"/>
        <v>2</v>
      </c>
      <c r="AO46" s="206">
        <f t="shared" si="18"/>
        <v>2.5</v>
      </c>
      <c r="AP46" s="220" t="b">
        <f t="shared" si="19"/>
        <v>0</v>
      </c>
      <c r="AQ46" s="304" t="b">
        <f>IFERROR(AN46&lt;=Inputs!$P$51,FALSE)</f>
        <v>1</v>
      </c>
      <c r="AR46" s="554">
        <f>IF($G46="yes",IFERROR(Y46/Calculations!$C$228*Calculations!$G$228,0),0)</f>
        <v>50.241750000000003</v>
      </c>
      <c r="AS46" s="554">
        <f>IF($G46="yes",IFERROR(Z46/Calculations!$C$232*Calculations!$G$232,0),0)</f>
        <v>0</v>
      </c>
      <c r="AT46" s="554">
        <f t="shared" si="20"/>
        <v>50.241750000000003</v>
      </c>
      <c r="AU46" s="206" t="b">
        <f t="shared" si="12"/>
        <v>1</v>
      </c>
      <c r="AV46" s="291"/>
      <c r="AZ46" s="351" t="s">
        <v>642</v>
      </c>
      <c r="BA46" s="4"/>
    </row>
    <row r="47" spans="1:53" s="253" customFormat="1" ht="13" hidden="1" x14ac:dyDescent="0.3">
      <c r="A47" s="106" t="s">
        <v>538</v>
      </c>
      <c r="B47" s="450" t="s">
        <v>558</v>
      </c>
      <c r="C47" s="255"/>
      <c r="D47" s="308" t="s">
        <v>100</v>
      </c>
      <c r="E47" s="308" t="s">
        <v>100</v>
      </c>
      <c r="F47" s="255"/>
      <c r="G47" s="548" t="s">
        <v>100</v>
      </c>
      <c r="H47" s="255"/>
      <c r="I47" s="301" t="str">
        <f t="shared" si="4"/>
        <v/>
      </c>
      <c r="J47" s="301" t="b">
        <f t="shared" si="5"/>
        <v>1</v>
      </c>
      <c r="K47" s="301" t="str">
        <f t="shared" si="6"/>
        <v/>
      </c>
      <c r="L47" s="131" t="b">
        <f t="shared" si="7"/>
        <v>1</v>
      </c>
      <c r="M47" s="253" t="s">
        <v>348</v>
      </c>
      <c r="N47" s="253" t="b">
        <v>1</v>
      </c>
      <c r="O47" s="253" t="s">
        <v>357</v>
      </c>
      <c r="P47" s="253" t="b">
        <v>1</v>
      </c>
      <c r="Q47" s="355">
        <v>1.4999999999999999E-2</v>
      </c>
      <c r="R47" s="355">
        <v>0.02</v>
      </c>
      <c r="S47" s="355">
        <v>0</v>
      </c>
      <c r="T47" s="355"/>
      <c r="U47" s="454">
        <v>0.5</v>
      </c>
      <c r="V47" s="454">
        <v>1</v>
      </c>
      <c r="W47" s="454">
        <v>1.5</v>
      </c>
      <c r="X47" s="454">
        <v>1</v>
      </c>
      <c r="Y47" s="302">
        <f>IFERROR(IF(Inputs!$D$29='Drop-downs'!$K$21,R47,Q47)*Calculations!$D$64,0)/1000</f>
        <v>2925</v>
      </c>
      <c r="Z47" s="302">
        <f>IFERROR(S47*Calculations!$D$65,0)</f>
        <v>0</v>
      </c>
      <c r="AA47" s="302">
        <f>IFERROR(T47*Calculations!$D$67,0)</f>
        <v>0</v>
      </c>
      <c r="AB47" s="303">
        <f>IFERROR(Y47*Calculations!$I$64,0)</f>
        <v>3720</v>
      </c>
      <c r="AC47" s="303">
        <f>IFERROR(Z47*Calculations!$I$65,0)</f>
        <v>0</v>
      </c>
      <c r="AD47" s="303">
        <f>IFERROR(AA47*Calculations!$I$67,0)</f>
        <v>0</v>
      </c>
      <c r="AE47" s="306">
        <f t="shared" si="13"/>
        <v>0</v>
      </c>
      <c r="AF47" s="121">
        <f t="shared" si="14"/>
        <v>3720</v>
      </c>
      <c r="AG47" s="120">
        <f t="shared" si="15"/>
        <v>3720</v>
      </c>
      <c r="AH47" s="303">
        <f>IFERROR(Y47*Calculations!$J$64,0)</f>
        <v>3720</v>
      </c>
      <c r="AI47" s="303">
        <f>IFERROR(Z47*Calculations!$J$65,0)</f>
        <v>0</v>
      </c>
      <c r="AJ47" s="303">
        <f>IFERROR(AA47*Calculations!$J$67,0)</f>
        <v>0</v>
      </c>
      <c r="AK47" s="306">
        <f t="shared" si="8"/>
        <v>0</v>
      </c>
      <c r="AL47" s="121">
        <f t="shared" si="9"/>
        <v>3720</v>
      </c>
      <c r="AM47" s="206">
        <f t="shared" si="16"/>
        <v>0.75</v>
      </c>
      <c r="AN47" s="206">
        <f t="shared" si="17"/>
        <v>1</v>
      </c>
      <c r="AO47" s="206">
        <f t="shared" si="18"/>
        <v>1.25</v>
      </c>
      <c r="AP47" s="220" t="b">
        <f t="shared" si="19"/>
        <v>0</v>
      </c>
      <c r="AQ47" s="304" t="b">
        <f>IFERROR(AN47&lt;=Inputs!$P$51,FALSE)</f>
        <v>1</v>
      </c>
      <c r="AR47" s="554">
        <f>IF($G47="yes",IFERROR(Y47/Calculations!$C$228*Calculations!$G$228,0),0)</f>
        <v>150.72524999999999</v>
      </c>
      <c r="AS47" s="554">
        <f>IF($G47="yes",IFERROR(Z47/Calculations!$C$232*Calculations!$G$232,0),0)</f>
        <v>0</v>
      </c>
      <c r="AT47" s="554">
        <f t="shared" si="20"/>
        <v>150.72524999999999</v>
      </c>
      <c r="AU47" s="206" t="b">
        <f t="shared" si="12"/>
        <v>1</v>
      </c>
      <c r="AV47" s="291"/>
      <c r="AZ47" s="351" t="s">
        <v>643</v>
      </c>
      <c r="BA47" s="4"/>
    </row>
    <row r="48" spans="1:53" s="253" customFormat="1" ht="13" hidden="1" x14ac:dyDescent="0.3">
      <c r="A48" s="106" t="s">
        <v>538</v>
      </c>
      <c r="B48" s="450" t="s">
        <v>606</v>
      </c>
      <c r="C48" s="255"/>
      <c r="D48" s="255"/>
      <c r="E48" s="255"/>
      <c r="F48" s="308" t="s">
        <v>100</v>
      </c>
      <c r="G48" s="548" t="s">
        <v>100</v>
      </c>
      <c r="H48" s="255"/>
      <c r="I48" s="301" t="str">
        <f t="shared" si="4"/>
        <v/>
      </c>
      <c r="J48" s="301" t="str">
        <f t="shared" si="5"/>
        <v/>
      </c>
      <c r="K48" s="301" t="b">
        <f t="shared" si="6"/>
        <v>0</v>
      </c>
      <c r="L48" s="131" t="b">
        <f t="shared" si="7"/>
        <v>0</v>
      </c>
      <c r="M48" s="253" t="s">
        <v>348</v>
      </c>
      <c r="N48" s="253" t="b">
        <v>1</v>
      </c>
      <c r="O48" s="253" t="s">
        <v>357</v>
      </c>
      <c r="P48" s="253" t="b">
        <v>1</v>
      </c>
      <c r="Q48" s="355">
        <v>0</v>
      </c>
      <c r="R48" s="355">
        <v>0</v>
      </c>
      <c r="S48" s="355">
        <v>0.03</v>
      </c>
      <c r="T48" s="355"/>
      <c r="U48" s="454">
        <v>2</v>
      </c>
      <c r="V48" s="454">
        <v>3</v>
      </c>
      <c r="W48" s="454">
        <v>4</v>
      </c>
      <c r="X48" s="454">
        <v>1</v>
      </c>
      <c r="Y48" s="302">
        <f>IFERROR(IF(Inputs!$D$29='Drop-downs'!$K$21,R48,Q48)*Calculations!$D$64,0)/1000</f>
        <v>0</v>
      </c>
      <c r="Z48" s="302">
        <f>IFERROR(S48*Calculations!$D$65,0)</f>
        <v>420000</v>
      </c>
      <c r="AA48" s="302">
        <f>IFERROR(T48*Calculations!$D$67,0)</f>
        <v>0</v>
      </c>
      <c r="AB48" s="303">
        <f>IFERROR(Y48*Calculations!$I$64,0)</f>
        <v>0</v>
      </c>
      <c r="AC48" s="303">
        <f>IFERROR(Z48*Calculations!$I$65,0)</f>
        <v>64500.000000000007</v>
      </c>
      <c r="AD48" s="303">
        <f>IFERROR(AA48*Calculations!$I$67,0)</f>
        <v>0</v>
      </c>
      <c r="AE48" s="306">
        <f t="shared" si="13"/>
        <v>0</v>
      </c>
      <c r="AF48" s="121">
        <f t="shared" si="14"/>
        <v>64500.000000000007</v>
      </c>
      <c r="AG48" s="120">
        <f t="shared" si="15"/>
        <v>193500.00000000003</v>
      </c>
      <c r="AH48" s="303">
        <f>IFERROR(Y48*Calculations!$J$64,0)</f>
        <v>0</v>
      </c>
      <c r="AI48" s="303">
        <f>IFERROR(Z48*Calculations!$J$65,0)</f>
        <v>64500.000000000007</v>
      </c>
      <c r="AJ48" s="303">
        <f>IFERROR(AA48*Calculations!$J$67,0)</f>
        <v>0</v>
      </c>
      <c r="AK48" s="306">
        <f t="shared" si="8"/>
        <v>0</v>
      </c>
      <c r="AL48" s="121">
        <f t="shared" si="9"/>
        <v>64500.000000000007</v>
      </c>
      <c r="AM48" s="206">
        <f t="shared" si="16"/>
        <v>2.25</v>
      </c>
      <c r="AN48" s="206">
        <f t="shared" si="17"/>
        <v>3</v>
      </c>
      <c r="AO48" s="206">
        <f t="shared" si="18"/>
        <v>3.75</v>
      </c>
      <c r="AP48" s="220" t="b">
        <f t="shared" si="19"/>
        <v>0</v>
      </c>
      <c r="AQ48" s="304" t="b">
        <f>IFERROR(AN48&lt;=Inputs!$P$51,FALSE)</f>
        <v>1</v>
      </c>
      <c r="AR48" s="554">
        <f>IF($G48="yes",IFERROR(Y48/Calculations!$C$228*Calculations!$G$228,0),0)</f>
        <v>0</v>
      </c>
      <c r="AS48" s="554">
        <f>IF($G48="yes",IFERROR(Z48/Calculations!$C$232*Calculations!$G$232,0),0)</f>
        <v>411.59999999999997</v>
      </c>
      <c r="AT48" s="554">
        <f t="shared" si="20"/>
        <v>411.59999999999997</v>
      </c>
      <c r="AU48" s="206" t="b">
        <f t="shared" si="12"/>
        <v>0</v>
      </c>
      <c r="AV48" s="350" t="s">
        <v>953</v>
      </c>
      <c r="AZ48" s="351" t="s">
        <v>644</v>
      </c>
      <c r="BA48" s="4"/>
    </row>
    <row r="49" spans="1:53" s="253" customFormat="1" ht="13" hidden="1" x14ac:dyDescent="0.3">
      <c r="A49" s="106" t="s">
        <v>538</v>
      </c>
      <c r="B49" s="450" t="s">
        <v>582</v>
      </c>
      <c r="C49" s="255"/>
      <c r="D49" s="255"/>
      <c r="E49" s="255"/>
      <c r="F49" s="308" t="s">
        <v>100</v>
      </c>
      <c r="G49" s="548" t="s">
        <v>100</v>
      </c>
      <c r="H49" s="255"/>
      <c r="I49" s="301" t="str">
        <f t="shared" si="4"/>
        <v/>
      </c>
      <c r="J49" s="301" t="str">
        <f t="shared" si="5"/>
        <v/>
      </c>
      <c r="K49" s="301" t="b">
        <f t="shared" si="6"/>
        <v>0</v>
      </c>
      <c r="L49" s="131" t="b">
        <f t="shared" si="7"/>
        <v>0</v>
      </c>
      <c r="M49" s="253" t="s">
        <v>348</v>
      </c>
      <c r="N49" s="253" t="b">
        <v>1</v>
      </c>
      <c r="O49" s="253" t="s">
        <v>357</v>
      </c>
      <c r="P49" s="253" t="b">
        <v>1</v>
      </c>
      <c r="Q49" s="355">
        <v>0</v>
      </c>
      <c r="R49" s="355">
        <v>0</v>
      </c>
      <c r="S49" s="355">
        <v>0.02</v>
      </c>
      <c r="T49" s="355"/>
      <c r="U49" s="454">
        <v>2</v>
      </c>
      <c r="V49" s="454">
        <v>3</v>
      </c>
      <c r="W49" s="454">
        <v>4</v>
      </c>
      <c r="X49" s="454">
        <v>1</v>
      </c>
      <c r="Y49" s="302">
        <f>IFERROR(IF(Inputs!$D$29='Drop-downs'!$K$21,R49,Q49)*Calculations!$D$64,0)/1000</f>
        <v>0</v>
      </c>
      <c r="Z49" s="302">
        <f>IFERROR(S49*Calculations!$D$65,0)</f>
        <v>280000</v>
      </c>
      <c r="AA49" s="302">
        <f>IFERROR(T49*Calculations!$D$67,0)</f>
        <v>0</v>
      </c>
      <c r="AB49" s="303">
        <f>IFERROR(Y49*Calculations!$I$64,0)</f>
        <v>0</v>
      </c>
      <c r="AC49" s="303">
        <f>IFERROR(Z49*Calculations!$I$65,0)</f>
        <v>43000</v>
      </c>
      <c r="AD49" s="303">
        <f>IFERROR(AA49*Calculations!$I$67,0)</f>
        <v>0</v>
      </c>
      <c r="AE49" s="306">
        <f t="shared" si="13"/>
        <v>0</v>
      </c>
      <c r="AF49" s="121">
        <f t="shared" si="14"/>
        <v>43000</v>
      </c>
      <c r="AG49" s="120">
        <f t="shared" si="15"/>
        <v>129000</v>
      </c>
      <c r="AH49" s="303">
        <f>IFERROR(Y49*Calculations!$J$64,0)</f>
        <v>0</v>
      </c>
      <c r="AI49" s="303">
        <f>IFERROR(Z49*Calculations!$J$65,0)</f>
        <v>43000</v>
      </c>
      <c r="AJ49" s="303">
        <f>IFERROR(AA49*Calculations!$J$67,0)</f>
        <v>0</v>
      </c>
      <c r="AK49" s="306">
        <f t="shared" si="8"/>
        <v>0</v>
      </c>
      <c r="AL49" s="121">
        <f t="shared" si="9"/>
        <v>43000</v>
      </c>
      <c r="AM49" s="206">
        <f t="shared" si="16"/>
        <v>2.25</v>
      </c>
      <c r="AN49" s="206">
        <f t="shared" si="17"/>
        <v>3</v>
      </c>
      <c r="AO49" s="206">
        <f t="shared" si="18"/>
        <v>3.75</v>
      </c>
      <c r="AP49" s="220" t="b">
        <f t="shared" si="19"/>
        <v>0</v>
      </c>
      <c r="AQ49" s="304" t="b">
        <f>IFERROR(AN49&lt;=Inputs!$P$51,FALSE)</f>
        <v>1</v>
      </c>
      <c r="AR49" s="554">
        <f>IF($G49="yes",IFERROR(Y49/Calculations!$C$228*Calculations!$G$228,0),0)</f>
        <v>0</v>
      </c>
      <c r="AS49" s="554">
        <f>IF($G49="yes",IFERROR(Z49/Calculations!$C$232*Calculations!$G$232,0),0)</f>
        <v>274.40000000000003</v>
      </c>
      <c r="AT49" s="554">
        <f t="shared" si="20"/>
        <v>274.40000000000003</v>
      </c>
      <c r="AU49" s="206" t="b">
        <f t="shared" si="12"/>
        <v>0</v>
      </c>
      <c r="AV49" s="350" t="s">
        <v>953</v>
      </c>
      <c r="AZ49" s="351" t="s">
        <v>645</v>
      </c>
      <c r="BA49" s="4"/>
    </row>
    <row r="50" spans="1:53" s="253" customFormat="1" ht="13" hidden="1" x14ac:dyDescent="0.3">
      <c r="A50" s="106" t="s">
        <v>538</v>
      </c>
      <c r="B50" s="450" t="s">
        <v>559</v>
      </c>
      <c r="C50" s="255"/>
      <c r="D50" s="255"/>
      <c r="E50" s="255"/>
      <c r="F50" s="308" t="s">
        <v>100</v>
      </c>
      <c r="G50" s="548" t="s">
        <v>100</v>
      </c>
      <c r="H50" s="255"/>
      <c r="I50" s="301" t="str">
        <f t="shared" si="4"/>
        <v/>
      </c>
      <c r="J50" s="301" t="str">
        <f t="shared" si="5"/>
        <v/>
      </c>
      <c r="K50" s="301" t="b">
        <f t="shared" si="6"/>
        <v>0</v>
      </c>
      <c r="L50" s="131" t="b">
        <f t="shared" si="7"/>
        <v>0</v>
      </c>
      <c r="M50" s="253" t="s">
        <v>348</v>
      </c>
      <c r="N50" s="253" t="b">
        <v>1</v>
      </c>
      <c r="O50" s="253" t="s">
        <v>357</v>
      </c>
      <c r="P50" s="253" t="b">
        <v>1</v>
      </c>
      <c r="Q50" s="355">
        <v>0</v>
      </c>
      <c r="R50" s="355">
        <v>0</v>
      </c>
      <c r="S50" s="355">
        <v>0.02</v>
      </c>
      <c r="T50" s="355"/>
      <c r="U50" s="454">
        <v>2</v>
      </c>
      <c r="V50" s="454">
        <v>3</v>
      </c>
      <c r="W50" s="454">
        <v>4</v>
      </c>
      <c r="X50" s="454">
        <v>1</v>
      </c>
      <c r="Y50" s="302">
        <f>IFERROR(IF(Inputs!$D$29='Drop-downs'!$K$21,R50,Q50)*Calculations!$D$64,0)/1000</f>
        <v>0</v>
      </c>
      <c r="Z50" s="302">
        <f>IFERROR(S50*Calculations!$D$65,0)</f>
        <v>280000</v>
      </c>
      <c r="AA50" s="302">
        <f>IFERROR(T50*Calculations!$D$67,0)</f>
        <v>0</v>
      </c>
      <c r="AB50" s="303">
        <f>IFERROR(Y50*Calculations!$I$64,0)</f>
        <v>0</v>
      </c>
      <c r="AC50" s="303">
        <f>IFERROR(Z50*Calculations!$I$65,0)</f>
        <v>43000</v>
      </c>
      <c r="AD50" s="303">
        <f>IFERROR(AA50*Calculations!$I$67,0)</f>
        <v>0</v>
      </c>
      <c r="AE50" s="306">
        <f t="shared" si="13"/>
        <v>0</v>
      </c>
      <c r="AF50" s="121">
        <f t="shared" si="14"/>
        <v>43000</v>
      </c>
      <c r="AG50" s="120">
        <f t="shared" si="15"/>
        <v>129000</v>
      </c>
      <c r="AH50" s="303">
        <f>IFERROR(Y50*Calculations!$J$64,0)</f>
        <v>0</v>
      </c>
      <c r="AI50" s="303">
        <f>IFERROR(Z50*Calculations!$J$65,0)</f>
        <v>43000</v>
      </c>
      <c r="AJ50" s="303">
        <f>IFERROR(AA50*Calculations!$J$67,0)</f>
        <v>0</v>
      </c>
      <c r="AK50" s="306">
        <f t="shared" si="8"/>
        <v>0</v>
      </c>
      <c r="AL50" s="121">
        <f t="shared" si="9"/>
        <v>43000</v>
      </c>
      <c r="AM50" s="206">
        <f t="shared" si="16"/>
        <v>2.25</v>
      </c>
      <c r="AN50" s="206">
        <f t="shared" si="17"/>
        <v>3</v>
      </c>
      <c r="AO50" s="206">
        <f t="shared" si="18"/>
        <v>3.75</v>
      </c>
      <c r="AP50" s="220" t="b">
        <f t="shared" si="19"/>
        <v>0</v>
      </c>
      <c r="AQ50" s="304" t="b">
        <f>IFERROR(AN50&lt;=Inputs!$P$51,FALSE)</f>
        <v>1</v>
      </c>
      <c r="AR50" s="554">
        <f>IF($G50="yes",IFERROR(Y50/Calculations!$C$228*Calculations!$G$228,0),0)</f>
        <v>0</v>
      </c>
      <c r="AS50" s="554">
        <f>IF($G50="yes",IFERROR(Z50/Calculations!$C$232*Calculations!$G$232,0),0)</f>
        <v>274.40000000000003</v>
      </c>
      <c r="AT50" s="554">
        <f t="shared" si="20"/>
        <v>274.40000000000003</v>
      </c>
      <c r="AU50" s="206" t="b">
        <f t="shared" si="12"/>
        <v>0</v>
      </c>
      <c r="AV50" s="350" t="s">
        <v>953</v>
      </c>
      <c r="AZ50" s="351" t="s">
        <v>646</v>
      </c>
      <c r="BA50" s="4"/>
    </row>
    <row r="51" spans="1:53" s="253" customFormat="1" ht="13" hidden="1" x14ac:dyDescent="0.3">
      <c r="A51" s="106" t="s">
        <v>538</v>
      </c>
      <c r="B51" s="450" t="s">
        <v>1041</v>
      </c>
      <c r="C51" s="255"/>
      <c r="D51" s="255"/>
      <c r="E51" s="255"/>
      <c r="F51" s="308" t="s">
        <v>100</v>
      </c>
      <c r="G51" s="548" t="s">
        <v>100</v>
      </c>
      <c r="H51" s="255"/>
      <c r="I51" s="301" t="str">
        <f t="shared" si="4"/>
        <v/>
      </c>
      <c r="J51" s="301" t="str">
        <f t="shared" si="5"/>
        <v/>
      </c>
      <c r="K51" s="301" t="b">
        <f t="shared" si="6"/>
        <v>0</v>
      </c>
      <c r="L51" s="131" t="b">
        <f t="shared" si="7"/>
        <v>0</v>
      </c>
      <c r="M51" s="253" t="s">
        <v>348</v>
      </c>
      <c r="N51" s="253" t="b">
        <v>1</v>
      </c>
      <c r="O51" s="253" t="s">
        <v>357</v>
      </c>
      <c r="P51" s="253" t="b">
        <v>1</v>
      </c>
      <c r="Q51" s="355">
        <v>0</v>
      </c>
      <c r="R51" s="355">
        <v>0</v>
      </c>
      <c r="S51" s="355">
        <v>5.0000000000000001E-3</v>
      </c>
      <c r="T51" s="355"/>
      <c r="U51" s="454">
        <v>2</v>
      </c>
      <c r="V51" s="454">
        <v>3</v>
      </c>
      <c r="W51" s="454">
        <v>4</v>
      </c>
      <c r="X51" s="454">
        <v>1</v>
      </c>
      <c r="Y51" s="302">
        <f>IFERROR(IF(Inputs!$D$29='Drop-downs'!$K$21,R51,Q51)*Calculations!$D$64,0)/1000</f>
        <v>0</v>
      </c>
      <c r="Z51" s="302">
        <f>IFERROR(S51*Calculations!$D$65,0)</f>
        <v>70000</v>
      </c>
      <c r="AA51" s="302">
        <f>IFERROR(T51*Calculations!$D$67,0)</f>
        <v>0</v>
      </c>
      <c r="AB51" s="303">
        <f>IFERROR(Y51*Calculations!$I$64,0)</f>
        <v>0</v>
      </c>
      <c r="AC51" s="303">
        <f>IFERROR(Z51*Calculations!$I$65,0)</f>
        <v>10750</v>
      </c>
      <c r="AD51" s="303">
        <f>IFERROR(AA51*Calculations!$I$67,0)</f>
        <v>0</v>
      </c>
      <c r="AE51" s="306">
        <f t="shared" si="13"/>
        <v>0</v>
      </c>
      <c r="AF51" s="121">
        <f t="shared" si="14"/>
        <v>10750</v>
      </c>
      <c r="AG51" s="120">
        <f t="shared" si="15"/>
        <v>32250</v>
      </c>
      <c r="AH51" s="303">
        <f>IFERROR(Y51*Calculations!$J$64,0)</f>
        <v>0</v>
      </c>
      <c r="AI51" s="303">
        <f>IFERROR(Z51*Calculations!$J$65,0)</f>
        <v>10750</v>
      </c>
      <c r="AJ51" s="303">
        <f>IFERROR(AA51*Calculations!$J$67,0)</f>
        <v>0</v>
      </c>
      <c r="AK51" s="306">
        <f t="shared" si="8"/>
        <v>0</v>
      </c>
      <c r="AL51" s="121">
        <f t="shared" si="9"/>
        <v>10750</v>
      </c>
      <c r="AM51" s="206">
        <f t="shared" si="16"/>
        <v>2.25</v>
      </c>
      <c r="AN51" s="206">
        <f t="shared" si="17"/>
        <v>3</v>
      </c>
      <c r="AO51" s="206">
        <f t="shared" si="18"/>
        <v>3.75</v>
      </c>
      <c r="AP51" s="220" t="b">
        <f t="shared" si="19"/>
        <v>0</v>
      </c>
      <c r="AQ51" s="304" t="b">
        <f>IFERROR(AN51&lt;=Inputs!$P$51,FALSE)</f>
        <v>1</v>
      </c>
      <c r="AR51" s="554">
        <f>IF($G51="yes",IFERROR(Y51/Calculations!$C$228*Calculations!$G$228,0),0)</f>
        <v>0</v>
      </c>
      <c r="AS51" s="554">
        <f>IF($G51="yes",IFERROR(Z51/Calculations!$C$232*Calculations!$G$232,0),0)</f>
        <v>68.600000000000009</v>
      </c>
      <c r="AT51" s="554">
        <f t="shared" si="20"/>
        <v>68.600000000000009</v>
      </c>
      <c r="AU51" s="206" t="b">
        <f t="shared" si="12"/>
        <v>0</v>
      </c>
      <c r="AV51" s="349" t="s">
        <v>790</v>
      </c>
      <c r="AZ51" s="351" t="s">
        <v>647</v>
      </c>
      <c r="BA51" s="4"/>
    </row>
    <row r="52" spans="1:53" s="253" customFormat="1" hidden="1" x14ac:dyDescent="0.25">
      <c r="A52" s="106" t="s">
        <v>538</v>
      </c>
      <c r="B52" s="299" t="s">
        <v>560</v>
      </c>
      <c r="C52" s="255"/>
      <c r="D52" s="255"/>
      <c r="E52" s="255"/>
      <c r="F52" s="308" t="s">
        <v>100</v>
      </c>
      <c r="G52" s="548" t="s">
        <v>100</v>
      </c>
      <c r="H52" s="255"/>
      <c r="I52" s="301" t="str">
        <f t="shared" si="4"/>
        <v/>
      </c>
      <c r="J52" s="301" t="str">
        <f t="shared" si="5"/>
        <v/>
      </c>
      <c r="K52" s="301" t="b">
        <f t="shared" si="6"/>
        <v>0</v>
      </c>
      <c r="L52" s="131" t="b">
        <f t="shared" si="7"/>
        <v>0</v>
      </c>
      <c r="M52" s="253" t="s">
        <v>348</v>
      </c>
      <c r="N52" s="253" t="b">
        <v>1</v>
      </c>
      <c r="O52" s="253" t="s">
        <v>357</v>
      </c>
      <c r="P52" s="253" t="b">
        <v>1</v>
      </c>
      <c r="Q52" s="355">
        <v>0</v>
      </c>
      <c r="R52" s="355">
        <v>0</v>
      </c>
      <c r="S52" s="355">
        <v>5.0000000000000001E-3</v>
      </c>
      <c r="T52" s="355"/>
      <c r="U52" s="454">
        <v>3</v>
      </c>
      <c r="V52" s="454">
        <v>4</v>
      </c>
      <c r="W52" s="454">
        <v>5</v>
      </c>
      <c r="X52" s="454">
        <v>1</v>
      </c>
      <c r="Y52" s="302">
        <f>IFERROR(IF(Inputs!$D$29='Drop-downs'!$K$21,R52,Q52)*Calculations!$D$64,0)/1000</f>
        <v>0</v>
      </c>
      <c r="Z52" s="302">
        <f>IFERROR(S52*Calculations!$D$65,0)</f>
        <v>70000</v>
      </c>
      <c r="AA52" s="302">
        <f>IFERROR(T52*Calculations!$D$67,0)</f>
        <v>0</v>
      </c>
      <c r="AB52" s="303">
        <f>IFERROR(Y52*Calculations!$I$64,0)</f>
        <v>0</v>
      </c>
      <c r="AC52" s="303">
        <f>IFERROR(Z52*Calculations!$I$65,0)</f>
        <v>10750</v>
      </c>
      <c r="AD52" s="303">
        <f>IFERROR(AA52*Calculations!$I$67,0)</f>
        <v>0</v>
      </c>
      <c r="AE52" s="306">
        <f t="shared" si="13"/>
        <v>0</v>
      </c>
      <c r="AF52" s="121">
        <f t="shared" si="14"/>
        <v>10750</v>
      </c>
      <c r="AG52" s="120">
        <f t="shared" si="15"/>
        <v>43000</v>
      </c>
      <c r="AH52" s="303">
        <f>IFERROR(Y52*Calculations!$J$64,0)</f>
        <v>0</v>
      </c>
      <c r="AI52" s="303">
        <f>IFERROR(Z52*Calculations!$J$65,0)</f>
        <v>10750</v>
      </c>
      <c r="AJ52" s="303">
        <f>IFERROR(AA52*Calculations!$J$67,0)</f>
        <v>0</v>
      </c>
      <c r="AK52" s="306">
        <f t="shared" si="8"/>
        <v>0</v>
      </c>
      <c r="AL52" s="121">
        <f t="shared" si="9"/>
        <v>10750</v>
      </c>
      <c r="AM52" s="206">
        <f t="shared" si="16"/>
        <v>3</v>
      </c>
      <c r="AN52" s="206">
        <f t="shared" si="17"/>
        <v>4</v>
      </c>
      <c r="AO52" s="206">
        <f t="shared" si="18"/>
        <v>5</v>
      </c>
      <c r="AP52" s="220" t="b">
        <f t="shared" si="19"/>
        <v>0</v>
      </c>
      <c r="AQ52" s="304" t="b">
        <f>IFERROR(AN52&lt;=Inputs!$P$51,FALSE)</f>
        <v>0</v>
      </c>
      <c r="AR52" s="554">
        <f>IF($G52="yes",IFERROR(Y52/Calculations!$C$228*Calculations!$G$228,0),0)</f>
        <v>0</v>
      </c>
      <c r="AS52" s="554">
        <f>IF($G52="yes",IFERROR(Z52/Calculations!$C$232*Calculations!$G$232,0),0)</f>
        <v>68.600000000000009</v>
      </c>
      <c r="AT52" s="554">
        <f t="shared" si="20"/>
        <v>68.600000000000009</v>
      </c>
      <c r="AU52" s="206" t="b">
        <f t="shared" si="12"/>
        <v>0</v>
      </c>
      <c r="AV52" s="350" t="s">
        <v>954</v>
      </c>
      <c r="AZ52" s="351" t="s">
        <v>648</v>
      </c>
      <c r="BA52" s="4"/>
    </row>
    <row r="53" spans="1:53" s="253" customFormat="1" ht="13" hidden="1" x14ac:dyDescent="0.3">
      <c r="A53" s="106" t="s">
        <v>538</v>
      </c>
      <c r="B53" s="451" t="s">
        <v>561</v>
      </c>
      <c r="C53" s="255"/>
      <c r="D53" s="255"/>
      <c r="E53" s="255"/>
      <c r="F53" s="308" t="s">
        <v>100</v>
      </c>
      <c r="G53" s="548" t="s">
        <v>100</v>
      </c>
      <c r="H53" s="255"/>
      <c r="I53" s="301" t="str">
        <f t="shared" si="4"/>
        <v/>
      </c>
      <c r="J53" s="301" t="str">
        <f t="shared" si="5"/>
        <v/>
      </c>
      <c r="K53" s="301" t="b">
        <f t="shared" si="6"/>
        <v>0</v>
      </c>
      <c r="L53" s="131" t="b">
        <f t="shared" si="7"/>
        <v>0</v>
      </c>
      <c r="M53" s="253" t="s">
        <v>348</v>
      </c>
      <c r="N53" s="253" t="b">
        <v>1</v>
      </c>
      <c r="O53" s="253" t="s">
        <v>357</v>
      </c>
      <c r="P53" s="253" t="b">
        <v>1</v>
      </c>
      <c r="Q53" s="355">
        <v>4.8433968356474009E-3</v>
      </c>
      <c r="R53" s="355">
        <v>4.8433968356474009E-3</v>
      </c>
      <c r="S53" s="355">
        <v>0.02</v>
      </c>
      <c r="T53" s="355"/>
      <c r="U53" s="454">
        <v>2</v>
      </c>
      <c r="V53" s="454">
        <v>3</v>
      </c>
      <c r="W53" s="454">
        <v>4</v>
      </c>
      <c r="X53" s="454">
        <v>1</v>
      </c>
      <c r="Y53" s="302">
        <f>IFERROR(IF(Inputs!$D$29='Drop-downs'!$K$21,R53,Q53)*Calculations!$D$64,0)/1000</f>
        <v>944.46238295124317</v>
      </c>
      <c r="Z53" s="302">
        <f>IFERROR(S53*Calculations!$D$65,0)</f>
        <v>280000</v>
      </c>
      <c r="AA53" s="302">
        <f>IFERROR(T53*Calculations!$D$67,0)</f>
        <v>0</v>
      </c>
      <c r="AB53" s="303">
        <f>IFERROR(Y53*Calculations!$I$64,0)</f>
        <v>1201.1624152405554</v>
      </c>
      <c r="AC53" s="303">
        <f>IFERROR(Z53*Calculations!$I$65,0)</f>
        <v>43000</v>
      </c>
      <c r="AD53" s="303">
        <f>IFERROR(AA53*Calculations!$I$67,0)</f>
        <v>0</v>
      </c>
      <c r="AE53" s="306">
        <f t="shared" si="13"/>
        <v>0</v>
      </c>
      <c r="AF53" s="121">
        <f t="shared" si="14"/>
        <v>44201.162415240557</v>
      </c>
      <c r="AG53" s="120">
        <f t="shared" si="15"/>
        <v>132603.48724572168</v>
      </c>
      <c r="AH53" s="303">
        <f>IFERROR(Y53*Calculations!$J$64,0)</f>
        <v>1201.1624152405554</v>
      </c>
      <c r="AI53" s="303">
        <f>IFERROR(Z53*Calculations!$J$65,0)</f>
        <v>43000</v>
      </c>
      <c r="AJ53" s="303">
        <f>IFERROR(AA53*Calculations!$J$67,0)</f>
        <v>0</v>
      </c>
      <c r="AK53" s="306">
        <f t="shared" si="8"/>
        <v>0</v>
      </c>
      <c r="AL53" s="121">
        <f t="shared" si="9"/>
        <v>44201.162415240557</v>
      </c>
      <c r="AM53" s="206">
        <f t="shared" si="16"/>
        <v>2.2500000000000004</v>
      </c>
      <c r="AN53" s="206">
        <f t="shared" si="17"/>
        <v>3.0000000000000004</v>
      </c>
      <c r="AO53" s="206">
        <f t="shared" si="18"/>
        <v>3.7500000000000004</v>
      </c>
      <c r="AP53" s="220" t="b">
        <f t="shared" si="19"/>
        <v>0</v>
      </c>
      <c r="AQ53" s="304" t="b">
        <f>IFERROR(AN53&lt;=Inputs!$P$51,FALSE)</f>
        <v>1</v>
      </c>
      <c r="AR53" s="554">
        <f>IF($G53="yes",IFERROR(Y53/Calculations!$C$228*Calculations!$G$228,0),0)</f>
        <v>48.668146593477566</v>
      </c>
      <c r="AS53" s="554">
        <f>IF($G53="yes",IFERROR(Z53/Calculations!$C$232*Calculations!$G$232,0),0)</f>
        <v>274.40000000000003</v>
      </c>
      <c r="AT53" s="554">
        <f t="shared" si="20"/>
        <v>323.06814659347759</v>
      </c>
      <c r="AU53" s="206" t="b">
        <f t="shared" si="12"/>
        <v>0</v>
      </c>
      <c r="AV53" s="455" t="s">
        <v>528</v>
      </c>
      <c r="AZ53" s="351" t="s">
        <v>649</v>
      </c>
      <c r="BA53" s="4"/>
    </row>
    <row r="54" spans="1:53" s="253" customFormat="1" ht="13" hidden="1" x14ac:dyDescent="0.3">
      <c r="A54" s="106" t="s">
        <v>538</v>
      </c>
      <c r="B54" s="451" t="s">
        <v>967</v>
      </c>
      <c r="C54" s="255"/>
      <c r="D54" s="255"/>
      <c r="E54" s="255"/>
      <c r="F54" s="308" t="s">
        <v>100</v>
      </c>
      <c r="G54" s="548" t="s">
        <v>100</v>
      </c>
      <c r="H54" s="255"/>
      <c r="I54" s="301" t="str">
        <f t="shared" si="4"/>
        <v/>
      </c>
      <c r="J54" s="301" t="str">
        <f t="shared" si="5"/>
        <v/>
      </c>
      <c r="K54" s="301" t="b">
        <f t="shared" si="6"/>
        <v>0</v>
      </c>
      <c r="L54" s="131" t="b">
        <f t="shared" ref="L54" si="21">IFERROR(OR(I54,J54,K54),FALSE)</f>
        <v>0</v>
      </c>
      <c r="M54" s="253" t="s">
        <v>348</v>
      </c>
      <c r="N54" s="253" t="b">
        <v>1</v>
      </c>
      <c r="O54" s="253" t="s">
        <v>357</v>
      </c>
      <c r="P54" s="253" t="b">
        <v>1</v>
      </c>
      <c r="Q54" s="355">
        <v>0</v>
      </c>
      <c r="R54" s="355">
        <v>0</v>
      </c>
      <c r="S54" s="355">
        <v>0.02</v>
      </c>
      <c r="T54" s="355"/>
      <c r="U54" s="454">
        <v>3</v>
      </c>
      <c r="V54" s="454">
        <v>4</v>
      </c>
      <c r="W54" s="454">
        <v>5</v>
      </c>
      <c r="X54" s="454">
        <v>1</v>
      </c>
      <c r="Y54" s="302">
        <f>IFERROR(IF(Inputs!$D$29='Drop-downs'!$K$21,R54,Q54)*Calculations!$D$64,0)/1000</f>
        <v>0</v>
      </c>
      <c r="Z54" s="302">
        <f>IFERROR(S54*Calculations!$D$65,0)</f>
        <v>280000</v>
      </c>
      <c r="AA54" s="302">
        <f>IFERROR(T54*Calculations!$D$67,0)</f>
        <v>0</v>
      </c>
      <c r="AB54" s="303">
        <f>IFERROR(Y54*Calculations!$I$64,0)</f>
        <v>0</v>
      </c>
      <c r="AC54" s="303">
        <f>IFERROR(Z54*Calculations!$I$65,0)</f>
        <v>43000</v>
      </c>
      <c r="AD54" s="303">
        <f>IFERROR(AA54*Calculations!$I$67,0)</f>
        <v>0</v>
      </c>
      <c r="AE54" s="306">
        <f t="shared" ref="AE54" si="22">SUM(AH54:AJ54)*(X54-1)</f>
        <v>0</v>
      </c>
      <c r="AF54" s="121">
        <f t="shared" ref="AF54" si="23">SUM(AB54:AE54)</f>
        <v>43000</v>
      </c>
      <c r="AG54" s="120">
        <f t="shared" ref="AG54" si="24">IFERROR(AF54*V54,AF54*10)</f>
        <v>172000</v>
      </c>
      <c r="AH54" s="303">
        <f>IFERROR(Y54*Calculations!$J$64,0)</f>
        <v>0</v>
      </c>
      <c r="AI54" s="303">
        <f>IFERROR(Z54*Calculations!$J$65,0)</f>
        <v>43000</v>
      </c>
      <c r="AJ54" s="303">
        <f>IFERROR(AA54*Calculations!$J$67,0)</f>
        <v>0</v>
      </c>
      <c r="AK54" s="306">
        <f t="shared" ref="AK54" si="25">SUM(AH54:AJ54)*(X54-1)</f>
        <v>0</v>
      </c>
      <c r="AL54" s="121">
        <f t="shared" ref="AL54" si="26">SUM(AH54:AK54)</f>
        <v>43000</v>
      </c>
      <c r="AM54" s="206">
        <f t="shared" ref="AM54" si="27">IFERROR(AN54*(1+$V$15),AN54)</f>
        <v>3</v>
      </c>
      <c r="AN54" s="206">
        <f t="shared" ref="AN54" si="28">IF(AG54&lt;=0,0,AG54/AL54)</f>
        <v>4</v>
      </c>
      <c r="AO54" s="206">
        <f t="shared" ref="AO54" si="29">IFERROR(AN54*(1+$V$16),AN54)</f>
        <v>5</v>
      </c>
      <c r="AP54" s="220" t="b">
        <f t="shared" ref="AP54" si="30">AL54&lt;=0</f>
        <v>0</v>
      </c>
      <c r="AQ54" s="304" t="b">
        <f>IFERROR(AN54&lt;=Inputs!$P$51,FALSE)</f>
        <v>0</v>
      </c>
      <c r="AR54" s="554">
        <f>IF($G54="yes",IFERROR(Y54/Calculations!$C$228*Calculations!$G$228,0),0)</f>
        <v>0</v>
      </c>
      <c r="AS54" s="554">
        <f>IF($G54="yes",IFERROR(Z54/Calculations!$C$232*Calculations!$G$232,0),0)</f>
        <v>274.40000000000003</v>
      </c>
      <c r="AT54" s="554">
        <f t="shared" si="20"/>
        <v>274.40000000000003</v>
      </c>
      <c r="AU54" s="206" t="b">
        <f t="shared" ref="AU54" si="31">AND(L54,N54,P54,NOT(AP54),AQ54)</f>
        <v>0</v>
      </c>
      <c r="AV54" s="350" t="s">
        <v>953</v>
      </c>
      <c r="AZ54" s="351"/>
    </row>
    <row r="55" spans="1:53" s="253" customFormat="1" ht="13" hidden="1" x14ac:dyDescent="0.3">
      <c r="A55" s="106" t="s">
        <v>538</v>
      </c>
      <c r="B55" s="450" t="s">
        <v>562</v>
      </c>
      <c r="C55" s="255"/>
      <c r="D55" s="255"/>
      <c r="E55" s="255"/>
      <c r="F55" s="308" t="s">
        <v>100</v>
      </c>
      <c r="G55" s="548" t="s">
        <v>100</v>
      </c>
      <c r="H55" s="255"/>
      <c r="I55" s="301" t="str">
        <f t="shared" ref="I55:I87" si="32">IF(C55="Yes",INDEX(Opportunity_Category_Display_Matrix,MATCH($A55,Opportunity_Category,0),MATCH(I$20,Performance_Descriptor_List,0)),"")</f>
        <v/>
      </c>
      <c r="J55" s="301" t="str">
        <f t="shared" ref="J55:J87" si="33">IF(OR(D55="Yes",E55="Yes"),INDEX(Opportunity_Category_Display_Matrix,MATCH($A55,Opportunity_Category,0),MATCH(J$20,Performance_Descriptor_List,0)),"")</f>
        <v/>
      </c>
      <c r="K55" s="301" t="b">
        <f t="shared" ref="K55:K87" si="34">IF(F55="Yes",INDEX(Opportunity_Category_Display_Matrix,MATCH($A55,Opportunity_Category,0),MATCH(K$20,Performance_Descriptor_List,0)),"")</f>
        <v>0</v>
      </c>
      <c r="L55" s="131" t="b">
        <f t="shared" si="7"/>
        <v>0</v>
      </c>
      <c r="M55" s="253" t="s">
        <v>348</v>
      </c>
      <c r="N55" s="253" t="b">
        <v>1</v>
      </c>
      <c r="O55" s="253" t="s">
        <v>357</v>
      </c>
      <c r="P55" s="253" t="b">
        <v>1</v>
      </c>
      <c r="Q55" s="355">
        <v>0</v>
      </c>
      <c r="R55" s="355">
        <v>0</v>
      </c>
      <c r="S55" s="355">
        <v>0.04</v>
      </c>
      <c r="T55" s="355"/>
      <c r="U55" s="454">
        <v>3</v>
      </c>
      <c r="V55" s="454">
        <v>4</v>
      </c>
      <c r="W55" s="454">
        <v>5</v>
      </c>
      <c r="X55" s="454">
        <v>1</v>
      </c>
      <c r="Y55" s="302">
        <f>IFERROR(IF(Inputs!$D$29='Drop-downs'!$K$21,R55,Q55)*Calculations!$D$64,0)/1000</f>
        <v>0</v>
      </c>
      <c r="Z55" s="302">
        <f>IFERROR(S55*Calculations!$D$65,0)</f>
        <v>560000</v>
      </c>
      <c r="AA55" s="302">
        <f>IFERROR(T55*Calculations!$D$67,0)</f>
        <v>0</v>
      </c>
      <c r="AB55" s="303">
        <f>IFERROR(Y55*Calculations!$I$64,0)</f>
        <v>0</v>
      </c>
      <c r="AC55" s="303">
        <f>IFERROR(Z55*Calculations!$I$65,0)</f>
        <v>86000</v>
      </c>
      <c r="AD55" s="303">
        <f>IFERROR(AA55*Calculations!$I$67,0)</f>
        <v>0</v>
      </c>
      <c r="AE55" s="306">
        <f t="shared" si="13"/>
        <v>0</v>
      </c>
      <c r="AF55" s="121">
        <f t="shared" si="14"/>
        <v>86000</v>
      </c>
      <c r="AG55" s="120">
        <f t="shared" si="15"/>
        <v>344000</v>
      </c>
      <c r="AH55" s="303">
        <f>IFERROR(Y55*Calculations!$J$64,0)</f>
        <v>0</v>
      </c>
      <c r="AI55" s="303">
        <f>IFERROR(Z55*Calculations!$J$65,0)</f>
        <v>86000</v>
      </c>
      <c r="AJ55" s="303">
        <f>IFERROR(AA55*Calculations!$J$67,0)</f>
        <v>0</v>
      </c>
      <c r="AK55" s="306">
        <f t="shared" si="8"/>
        <v>0</v>
      </c>
      <c r="AL55" s="121">
        <f t="shared" si="9"/>
        <v>86000</v>
      </c>
      <c r="AM55" s="206">
        <f t="shared" si="16"/>
        <v>3</v>
      </c>
      <c r="AN55" s="206">
        <f t="shared" si="17"/>
        <v>4</v>
      </c>
      <c r="AO55" s="206">
        <f t="shared" si="18"/>
        <v>5</v>
      </c>
      <c r="AP55" s="220" t="b">
        <f t="shared" si="19"/>
        <v>0</v>
      </c>
      <c r="AQ55" s="304" t="b">
        <f>IFERROR(AN55&lt;=Inputs!$P$51,FALSE)</f>
        <v>0</v>
      </c>
      <c r="AR55" s="554">
        <f>IF($G55="yes",IFERROR(Y55/Calculations!$C$228*Calculations!$G$228,0),0)</f>
        <v>0</v>
      </c>
      <c r="AS55" s="554">
        <f>IF($G55="yes",IFERROR(Z55/Calculations!$C$232*Calculations!$G$232,0),0)</f>
        <v>548.80000000000007</v>
      </c>
      <c r="AT55" s="554">
        <f t="shared" si="20"/>
        <v>548.80000000000007</v>
      </c>
      <c r="AU55" s="206" t="b">
        <f>AND(L55,N55,P55,NOT(AP55),AQ55)</f>
        <v>0</v>
      </c>
      <c r="AV55" s="350" t="s">
        <v>953</v>
      </c>
      <c r="AZ55" s="351" t="s">
        <v>650</v>
      </c>
      <c r="BA55" s="4"/>
    </row>
    <row r="56" spans="1:53" s="253" customFormat="1" ht="25" hidden="1" x14ac:dyDescent="0.25">
      <c r="A56" s="106" t="s">
        <v>361</v>
      </c>
      <c r="B56" s="307" t="s">
        <v>1042</v>
      </c>
      <c r="C56" s="308" t="s">
        <v>100</v>
      </c>
      <c r="D56" s="255"/>
      <c r="E56" s="255"/>
      <c r="F56" s="255"/>
      <c r="G56" s="548" t="s">
        <v>100</v>
      </c>
      <c r="H56" s="255"/>
      <c r="I56" s="301" t="b">
        <f t="shared" si="32"/>
        <v>1</v>
      </c>
      <c r="J56" s="301" t="str">
        <f t="shared" si="33"/>
        <v/>
      </c>
      <c r="K56" s="301" t="str">
        <f t="shared" si="34"/>
        <v/>
      </c>
      <c r="L56" s="131" t="b">
        <f t="shared" si="7"/>
        <v>1</v>
      </c>
      <c r="M56" s="253" t="s">
        <v>348</v>
      </c>
      <c r="N56" s="253" t="b">
        <v>1</v>
      </c>
      <c r="O56" s="253" t="s">
        <v>357</v>
      </c>
      <c r="P56" s="253" t="b">
        <v>1</v>
      </c>
      <c r="Q56" s="355"/>
      <c r="R56" s="355"/>
      <c r="S56" s="355"/>
      <c r="T56" s="355">
        <v>4.4000000000000004E-2</v>
      </c>
      <c r="U56" s="454">
        <v>0.5</v>
      </c>
      <c r="V56" s="454">
        <v>0.75</v>
      </c>
      <c r="W56" s="454">
        <v>1</v>
      </c>
      <c r="X56" s="454">
        <v>1</v>
      </c>
      <c r="Y56" s="302">
        <f>IFERROR(IF(Inputs!$D$29='Drop-downs'!$K$21,R56,Q56)*Calculations!$D$64,0)/1000</f>
        <v>0</v>
      </c>
      <c r="Z56" s="302">
        <f>IFERROR(S56*Calculations!$D$65,0)</f>
        <v>0</v>
      </c>
      <c r="AA56" s="302">
        <f>IFERROR(T56*Calculations!$D$67,0)</f>
        <v>26400.000000000004</v>
      </c>
      <c r="AB56" s="303">
        <f>IFERROR(Y56*Calculations!$I$64,0)</f>
        <v>0</v>
      </c>
      <c r="AC56" s="303">
        <f>IFERROR(Z56*Calculations!$I$65,0)</f>
        <v>0</v>
      </c>
      <c r="AD56" s="303">
        <f>IFERROR(AA56*Calculations!$I$67,0)</f>
        <v>102300.00000000001</v>
      </c>
      <c r="AE56" s="306">
        <f t="shared" si="13"/>
        <v>0</v>
      </c>
      <c r="AF56" s="121">
        <f t="shared" si="14"/>
        <v>102300.00000000001</v>
      </c>
      <c r="AG56" s="120">
        <f t="shared" si="15"/>
        <v>76725.000000000015</v>
      </c>
      <c r="AH56" s="303">
        <f>IFERROR(Y56*Calculations!$J$64,0)</f>
        <v>0</v>
      </c>
      <c r="AI56" s="303">
        <f>IFERROR(Z56*Calculations!$J$65,0)</f>
        <v>0</v>
      </c>
      <c r="AJ56" s="303">
        <f>IFERROR(AA56*Calculations!$J$67,0)</f>
        <v>102300.00000000001</v>
      </c>
      <c r="AK56" s="306">
        <f t="shared" ref="AK56:AK88" si="35">SUM(AH56:AJ56)*(X56-1)</f>
        <v>0</v>
      </c>
      <c r="AL56" s="121">
        <f t="shared" si="9"/>
        <v>102300.00000000001</v>
      </c>
      <c r="AM56" s="206">
        <f t="shared" si="16"/>
        <v>0.5625</v>
      </c>
      <c r="AN56" s="206">
        <f t="shared" si="17"/>
        <v>0.75</v>
      </c>
      <c r="AO56" s="206">
        <f t="shared" si="18"/>
        <v>0.9375</v>
      </c>
      <c r="AP56" s="220" t="b">
        <f t="shared" ref="AP56:AP91" si="36">AL56&lt;=0</f>
        <v>0</v>
      </c>
      <c r="AQ56" s="304" t="b">
        <f>IFERROR(AN56&lt;=Inputs!$P$51,FALSE)</f>
        <v>1</v>
      </c>
      <c r="AR56" s="554">
        <f>IF($G56="yes",IFERROR(Y56/Calculations!$C$228*Calculations!$G$228,0),0)</f>
        <v>0</v>
      </c>
      <c r="AS56" s="554">
        <f>IF($G56="yes",IFERROR(Z56/Calculations!$C$232*Calculations!$G$232,0),0)</f>
        <v>0</v>
      </c>
      <c r="AT56" s="554">
        <f t="shared" si="20"/>
        <v>0</v>
      </c>
      <c r="AU56" s="206" t="b">
        <f>AND(L56,N56,P56,NOT(AP56),AQ56)</f>
        <v>1</v>
      </c>
      <c r="AV56" s="349" t="s">
        <v>790</v>
      </c>
      <c r="AZ56" s="351" t="s">
        <v>651</v>
      </c>
      <c r="BA56" s="4"/>
    </row>
    <row r="57" spans="1:53" s="253" customFormat="1" ht="25" hidden="1" x14ac:dyDescent="0.25">
      <c r="A57" s="106" t="s">
        <v>361</v>
      </c>
      <c r="B57" s="309" t="s">
        <v>968</v>
      </c>
      <c r="C57" s="308" t="s">
        <v>100</v>
      </c>
      <c r="D57" s="255"/>
      <c r="E57" s="255"/>
      <c r="F57" s="255"/>
      <c r="G57" s="548" t="s">
        <v>100</v>
      </c>
      <c r="H57" s="255"/>
      <c r="I57" s="301" t="b">
        <f t="shared" ref="I57" si="37">IF(C57="Yes",INDEX(Opportunity_Category_Display_Matrix,MATCH($A57,Opportunity_Category,0),MATCH(I$20,Performance_Descriptor_List,0)),"")</f>
        <v>1</v>
      </c>
      <c r="J57" s="301" t="str">
        <f t="shared" ref="J57" si="38">IF(OR(D57="Yes",E57="Yes"),INDEX(Opportunity_Category_Display_Matrix,MATCH($A57,Opportunity_Category,0),MATCH(J$20,Performance_Descriptor_List,0)),"")</f>
        <v/>
      </c>
      <c r="K57" s="301" t="str">
        <f t="shared" ref="K57" si="39">IF(F57="Yes",INDEX(Opportunity_Category_Display_Matrix,MATCH($A57,Opportunity_Category,0),MATCH(K$20,Performance_Descriptor_List,0)),"")</f>
        <v/>
      </c>
      <c r="L57" s="131" t="b">
        <f t="shared" ref="L57" si="40">IFERROR(OR(I57,J57,K57),FALSE)</f>
        <v>1</v>
      </c>
      <c r="M57" s="253" t="s">
        <v>348</v>
      </c>
      <c r="N57" s="253" t="b">
        <v>1</v>
      </c>
      <c r="O57" s="253" t="s">
        <v>357</v>
      </c>
      <c r="P57" s="253" t="b">
        <v>1</v>
      </c>
      <c r="Q57" s="355"/>
      <c r="R57" s="355"/>
      <c r="S57" s="355"/>
      <c r="T57" s="355">
        <v>0.02</v>
      </c>
      <c r="U57" s="454">
        <v>1</v>
      </c>
      <c r="V57" s="454">
        <v>2</v>
      </c>
      <c r="W57" s="454">
        <v>3</v>
      </c>
      <c r="X57" s="454">
        <v>1</v>
      </c>
      <c r="Y57" s="302">
        <f>IFERROR(IF(Inputs!$D$29='Drop-downs'!$K$21,R57,Q57)*Calculations!$D$64,0)/1000</f>
        <v>0</v>
      </c>
      <c r="Z57" s="302">
        <f>IFERROR(S57*Calculations!$D$65,0)</f>
        <v>0</v>
      </c>
      <c r="AA57" s="302">
        <f>IFERROR(T57*Calculations!$D$67,0)</f>
        <v>12000</v>
      </c>
      <c r="AB57" s="303">
        <f>IFERROR(Y57*Calculations!$I$64,0)</f>
        <v>0</v>
      </c>
      <c r="AC57" s="303">
        <f>IFERROR(Z57*Calculations!$I$65,0)</f>
        <v>0</v>
      </c>
      <c r="AD57" s="303">
        <f>IFERROR(AA57*Calculations!$I$67,0)</f>
        <v>46500</v>
      </c>
      <c r="AE57" s="306">
        <f t="shared" ref="AE57" si="41">SUM(AH57:AJ57)*(X57-1)</f>
        <v>0</v>
      </c>
      <c r="AF57" s="121">
        <f t="shared" ref="AF57" si="42">SUM(AB57:AE57)</f>
        <v>46500</v>
      </c>
      <c r="AG57" s="120">
        <f t="shared" ref="AG57" si="43">IFERROR(AF57*V57,AF57*10)</f>
        <v>93000</v>
      </c>
      <c r="AH57" s="303">
        <f>IFERROR(Y57*Calculations!$J$64,0)</f>
        <v>0</v>
      </c>
      <c r="AI57" s="303">
        <f>IFERROR(Z57*Calculations!$J$65,0)</f>
        <v>0</v>
      </c>
      <c r="AJ57" s="303">
        <f>IFERROR(AA57*Calculations!$J$67,0)</f>
        <v>46500</v>
      </c>
      <c r="AK57" s="306">
        <f t="shared" ref="AK57" si="44">SUM(AH57:AJ57)*(X57-1)</f>
        <v>0</v>
      </c>
      <c r="AL57" s="121">
        <f t="shared" ref="AL57" si="45">SUM(AH57:AK57)</f>
        <v>46500</v>
      </c>
      <c r="AM57" s="206">
        <f t="shared" ref="AM57" si="46">IFERROR(AN57*(1+$V$15),AN57)</f>
        <v>1.5</v>
      </c>
      <c r="AN57" s="206">
        <f t="shared" ref="AN57" si="47">IF(AG57&lt;=0,0,AG57/AL57)</f>
        <v>2</v>
      </c>
      <c r="AO57" s="206">
        <f t="shared" ref="AO57" si="48">IFERROR(AN57*(1+$V$16),AN57)</f>
        <v>2.5</v>
      </c>
      <c r="AP57" s="220" t="b">
        <f t="shared" ref="AP57" si="49">AL57&lt;=0</f>
        <v>0</v>
      </c>
      <c r="AQ57" s="304" t="b">
        <f>IFERROR(AN57&lt;=Inputs!$P$51,FALSE)</f>
        <v>1</v>
      </c>
      <c r="AR57" s="554">
        <f>IF($G57="yes",IFERROR(Y57/Calculations!$C$228*Calculations!$G$228,0),0)</f>
        <v>0</v>
      </c>
      <c r="AS57" s="554">
        <f>IF($G57="yes",IFERROR(Z57/Calculations!$C$232*Calculations!$G$232,0),0)</f>
        <v>0</v>
      </c>
      <c r="AT57" s="554">
        <f t="shared" si="20"/>
        <v>0</v>
      </c>
      <c r="AU57" s="206" t="b">
        <f t="shared" ref="AU57" si="50">AND(L57,N57,P57,NOT(AP57),AQ57)</f>
        <v>1</v>
      </c>
      <c r="AV57" s="349" t="s">
        <v>790</v>
      </c>
      <c r="AZ57" s="351"/>
    </row>
    <row r="58" spans="1:53" s="253" customFormat="1" ht="25" hidden="1" x14ac:dyDescent="0.25">
      <c r="A58" s="106" t="s">
        <v>361</v>
      </c>
      <c r="B58" s="307" t="s">
        <v>1043</v>
      </c>
      <c r="C58" s="308" t="s">
        <v>100</v>
      </c>
      <c r="D58" s="255"/>
      <c r="E58" s="255"/>
      <c r="F58" s="255"/>
      <c r="G58" s="548" t="s">
        <v>100</v>
      </c>
      <c r="H58" s="255"/>
      <c r="I58" s="301" t="b">
        <f t="shared" si="32"/>
        <v>1</v>
      </c>
      <c r="J58" s="301" t="str">
        <f t="shared" si="33"/>
        <v/>
      </c>
      <c r="K58" s="301" t="str">
        <f t="shared" si="34"/>
        <v/>
      </c>
      <c r="L58" s="131" t="b">
        <f t="shared" si="7"/>
        <v>1</v>
      </c>
      <c r="M58" s="253" t="s">
        <v>348</v>
      </c>
      <c r="N58" s="253" t="b">
        <v>1</v>
      </c>
      <c r="O58" s="253" t="s">
        <v>357</v>
      </c>
      <c r="P58" s="253" t="b">
        <v>1</v>
      </c>
      <c r="Q58" s="355"/>
      <c r="R58" s="355"/>
      <c r="S58" s="355"/>
      <c r="T58" s="355">
        <v>0.1</v>
      </c>
      <c r="U58" s="454">
        <v>2</v>
      </c>
      <c r="V58" s="454">
        <v>3</v>
      </c>
      <c r="W58" s="454">
        <v>4</v>
      </c>
      <c r="X58" s="454">
        <v>1</v>
      </c>
      <c r="Y58" s="302">
        <f>IFERROR(IF(Inputs!$D$29='Drop-downs'!$K$21,R58,Q58)*Calculations!$D$64,0)/1000</f>
        <v>0</v>
      </c>
      <c r="Z58" s="302">
        <f>IFERROR(S58*Calculations!$D$65,0)</f>
        <v>0</v>
      </c>
      <c r="AA58" s="302">
        <f>IFERROR(T58*Calculations!$D$67,0)</f>
        <v>60000</v>
      </c>
      <c r="AB58" s="303">
        <f>IFERROR(Y58*Calculations!$I$64,0)</f>
        <v>0</v>
      </c>
      <c r="AC58" s="303">
        <f>IFERROR(Z58*Calculations!$I$65,0)</f>
        <v>0</v>
      </c>
      <c r="AD58" s="303">
        <f>IFERROR(AA58*Calculations!$I$67,0)</f>
        <v>232500</v>
      </c>
      <c r="AE58" s="306">
        <f t="shared" si="13"/>
        <v>0</v>
      </c>
      <c r="AF58" s="121">
        <f t="shared" si="14"/>
        <v>232500</v>
      </c>
      <c r="AG58" s="120">
        <f t="shared" si="15"/>
        <v>697500</v>
      </c>
      <c r="AH58" s="303">
        <f>IFERROR(Y58*Calculations!$J$64,0)</f>
        <v>0</v>
      </c>
      <c r="AI58" s="303">
        <f>IFERROR(Z58*Calculations!$J$65,0)</f>
        <v>0</v>
      </c>
      <c r="AJ58" s="303">
        <f>IFERROR(AA58*Calculations!$J$67,0)</f>
        <v>232500</v>
      </c>
      <c r="AK58" s="306">
        <f t="shared" si="35"/>
        <v>0</v>
      </c>
      <c r="AL58" s="121">
        <f t="shared" si="9"/>
        <v>232500</v>
      </c>
      <c r="AM58" s="206">
        <f t="shared" si="16"/>
        <v>2.25</v>
      </c>
      <c r="AN58" s="206">
        <f t="shared" si="17"/>
        <v>3</v>
      </c>
      <c r="AO58" s="206">
        <f t="shared" si="18"/>
        <v>3.75</v>
      </c>
      <c r="AP58" s="220" t="b">
        <f t="shared" si="36"/>
        <v>0</v>
      </c>
      <c r="AQ58" s="304" t="b">
        <f>IFERROR(AN58&lt;=Inputs!$P$51,FALSE)</f>
        <v>1</v>
      </c>
      <c r="AR58" s="554">
        <f>IF($G58="yes",IFERROR(Y58/Calculations!$C$228*Calculations!$G$228,0),0)</f>
        <v>0</v>
      </c>
      <c r="AS58" s="554">
        <f>IF($G58="yes",IFERROR(Z58/Calculations!$C$232*Calculations!$G$232,0),0)</f>
        <v>0</v>
      </c>
      <c r="AT58" s="554">
        <f t="shared" si="20"/>
        <v>0</v>
      </c>
      <c r="AU58" s="206" t="b">
        <f t="shared" ref="AU58:AU83" si="51">AND(L58,N58,P58,NOT(AP58),AQ58)</f>
        <v>1</v>
      </c>
      <c r="AV58" s="349" t="s">
        <v>790</v>
      </c>
      <c r="AZ58" s="351" t="s">
        <v>652</v>
      </c>
      <c r="BA58" s="4"/>
    </row>
    <row r="59" spans="1:53" s="253" customFormat="1" hidden="1" x14ac:dyDescent="0.25">
      <c r="A59" s="106" t="s">
        <v>361</v>
      </c>
      <c r="B59" s="299" t="s">
        <v>583</v>
      </c>
      <c r="C59" s="255"/>
      <c r="D59" s="308" t="s">
        <v>100</v>
      </c>
      <c r="E59" s="308" t="s">
        <v>100</v>
      </c>
      <c r="F59" s="255"/>
      <c r="G59" s="548" t="s">
        <v>100</v>
      </c>
      <c r="H59" s="255"/>
      <c r="I59" s="301" t="str">
        <f t="shared" si="32"/>
        <v/>
      </c>
      <c r="J59" s="301" t="b">
        <f t="shared" si="33"/>
        <v>1</v>
      </c>
      <c r="K59" s="301" t="str">
        <f t="shared" si="34"/>
        <v/>
      </c>
      <c r="L59" s="131" t="b">
        <f t="shared" si="7"/>
        <v>1</v>
      </c>
      <c r="M59" s="253" t="s">
        <v>348</v>
      </c>
      <c r="N59" s="253" t="b">
        <v>1</v>
      </c>
      <c r="O59" s="253" t="s">
        <v>357</v>
      </c>
      <c r="P59" s="253" t="b">
        <v>1</v>
      </c>
      <c r="Q59" s="355">
        <v>0.03</v>
      </c>
      <c r="R59" s="355">
        <v>0.05</v>
      </c>
      <c r="S59" s="355">
        <v>0</v>
      </c>
      <c r="T59" s="355"/>
      <c r="U59" s="454">
        <v>2</v>
      </c>
      <c r="V59" s="454">
        <v>3</v>
      </c>
      <c r="W59" s="454">
        <v>4</v>
      </c>
      <c r="X59" s="454">
        <v>1</v>
      </c>
      <c r="Y59" s="302">
        <f>IFERROR(IF(Inputs!$D$29='Drop-downs'!$K$21,R59,Q59)*Calculations!$D$64,0)/1000</f>
        <v>5850</v>
      </c>
      <c r="Z59" s="302">
        <f>IFERROR(S59*Calculations!$D$65,0)</f>
        <v>0</v>
      </c>
      <c r="AA59" s="302">
        <f>IFERROR(T59*Calculations!$D$67,0)</f>
        <v>0</v>
      </c>
      <c r="AB59" s="303">
        <f>IFERROR(Y59*Calculations!$I$64,0)</f>
        <v>7440</v>
      </c>
      <c r="AC59" s="303">
        <f>IFERROR(Z59*Calculations!$I$65,0)</f>
        <v>0</v>
      </c>
      <c r="AD59" s="303">
        <f>IFERROR(AA59*Calculations!$I$67,0)</f>
        <v>0</v>
      </c>
      <c r="AE59" s="306">
        <f t="shared" si="13"/>
        <v>0</v>
      </c>
      <c r="AF59" s="121">
        <f t="shared" si="14"/>
        <v>7440</v>
      </c>
      <c r="AG59" s="120">
        <f t="shared" si="15"/>
        <v>22320</v>
      </c>
      <c r="AH59" s="303">
        <f>IFERROR(Y59*Calculations!$J$64,0)</f>
        <v>7440</v>
      </c>
      <c r="AI59" s="303">
        <f>IFERROR(Z59*Calculations!$J$65,0)</f>
        <v>0</v>
      </c>
      <c r="AJ59" s="303">
        <f>IFERROR(AA59*Calculations!$J$67,0)</f>
        <v>0</v>
      </c>
      <c r="AK59" s="306">
        <f t="shared" si="35"/>
        <v>0</v>
      </c>
      <c r="AL59" s="121">
        <f t="shared" si="9"/>
        <v>7440</v>
      </c>
      <c r="AM59" s="206">
        <f t="shared" si="16"/>
        <v>2.25</v>
      </c>
      <c r="AN59" s="206">
        <f t="shared" si="17"/>
        <v>3</v>
      </c>
      <c r="AO59" s="206">
        <f t="shared" si="18"/>
        <v>3.75</v>
      </c>
      <c r="AP59" s="220" t="b">
        <f t="shared" si="36"/>
        <v>0</v>
      </c>
      <c r="AQ59" s="304" t="b">
        <f>IFERROR(AN59&lt;=Inputs!$P$51,FALSE)</f>
        <v>1</v>
      </c>
      <c r="AR59" s="554">
        <f>IF($G59="yes",IFERROR(Y59/Calculations!$C$228*Calculations!$G$228,0),0)</f>
        <v>301.45049999999998</v>
      </c>
      <c r="AS59" s="554">
        <f>IF($G59="yes",IFERROR(Z59/Calculations!$C$232*Calculations!$G$232,0),0)</f>
        <v>0</v>
      </c>
      <c r="AT59" s="554">
        <f t="shared" si="20"/>
        <v>301.45049999999998</v>
      </c>
      <c r="AU59" s="206" t="b">
        <f t="shared" si="51"/>
        <v>1</v>
      </c>
      <c r="AV59" s="349" t="s">
        <v>951</v>
      </c>
      <c r="AZ59" s="351" t="s">
        <v>653</v>
      </c>
      <c r="BA59" s="4"/>
    </row>
    <row r="60" spans="1:53" s="253" customFormat="1" hidden="1" x14ac:dyDescent="0.25">
      <c r="A60" s="106" t="s">
        <v>361</v>
      </c>
      <c r="B60" s="299" t="s">
        <v>584</v>
      </c>
      <c r="C60" s="255"/>
      <c r="D60" s="308" t="s">
        <v>100</v>
      </c>
      <c r="E60" s="308" t="s">
        <v>100</v>
      </c>
      <c r="F60" s="255"/>
      <c r="G60" s="548" t="s">
        <v>100</v>
      </c>
      <c r="H60" s="255"/>
      <c r="I60" s="301" t="str">
        <f t="shared" si="32"/>
        <v/>
      </c>
      <c r="J60" s="301" t="b">
        <f t="shared" si="33"/>
        <v>1</v>
      </c>
      <c r="K60" s="301" t="str">
        <f t="shared" si="34"/>
        <v/>
      </c>
      <c r="L60" s="131" t="b">
        <f t="shared" si="7"/>
        <v>1</v>
      </c>
      <c r="M60" s="253" t="s">
        <v>348</v>
      </c>
      <c r="N60" s="253" t="b">
        <v>1</v>
      </c>
      <c r="O60" s="253" t="s">
        <v>357</v>
      </c>
      <c r="P60" s="253" t="b">
        <v>1</v>
      </c>
      <c r="Q60" s="355">
        <v>6.0000000000000001E-3</v>
      </c>
      <c r="R60" s="355">
        <v>6.0000000000000001E-3</v>
      </c>
      <c r="S60" s="355">
        <v>0</v>
      </c>
      <c r="T60" s="355"/>
      <c r="U60" s="454">
        <v>4</v>
      </c>
      <c r="V60" s="454">
        <v>5</v>
      </c>
      <c r="W60" s="454">
        <v>6</v>
      </c>
      <c r="X60" s="454">
        <v>2</v>
      </c>
      <c r="Y60" s="302">
        <f>IFERROR(IF(Inputs!$D$29='Drop-downs'!$K$21,R60,Q60)*Calculations!$D$64,0)/1000</f>
        <v>1170</v>
      </c>
      <c r="Z60" s="302">
        <f>IFERROR(S60*Calculations!$D$65,0)</f>
        <v>0</v>
      </c>
      <c r="AA60" s="302">
        <f>IFERROR(T60*Calculations!$D$67,0)</f>
        <v>0</v>
      </c>
      <c r="AB60" s="303">
        <f>IFERROR(Y60*Calculations!$I$64,0)</f>
        <v>1488</v>
      </c>
      <c r="AC60" s="303">
        <f>IFERROR(Z60*Calculations!$I$65,0)</f>
        <v>0</v>
      </c>
      <c r="AD60" s="303">
        <f>IFERROR(AA60*Calculations!$I$67,0)</f>
        <v>0</v>
      </c>
      <c r="AE60" s="306">
        <f t="shared" si="13"/>
        <v>1488</v>
      </c>
      <c r="AF60" s="121">
        <f t="shared" si="14"/>
        <v>2976</v>
      </c>
      <c r="AG60" s="120">
        <f t="shared" si="15"/>
        <v>14880</v>
      </c>
      <c r="AH60" s="303">
        <f>IFERROR(Y60*Calculations!$J$64,0)</f>
        <v>1488</v>
      </c>
      <c r="AI60" s="303">
        <f>IFERROR(Z60*Calculations!$J$65,0)</f>
        <v>0</v>
      </c>
      <c r="AJ60" s="303">
        <f>IFERROR(AA60*Calculations!$J$67,0)</f>
        <v>0</v>
      </c>
      <c r="AK60" s="306">
        <f t="shared" si="35"/>
        <v>1488</v>
      </c>
      <c r="AL60" s="121">
        <f t="shared" si="9"/>
        <v>2976</v>
      </c>
      <c r="AM60" s="206">
        <f t="shared" si="16"/>
        <v>3.75</v>
      </c>
      <c r="AN60" s="206">
        <f t="shared" si="17"/>
        <v>5</v>
      </c>
      <c r="AO60" s="206">
        <f t="shared" si="18"/>
        <v>6.25</v>
      </c>
      <c r="AP60" s="220" t="b">
        <f t="shared" si="36"/>
        <v>0</v>
      </c>
      <c r="AQ60" s="304" t="b">
        <f>IFERROR(AN60&lt;=Inputs!$P$51,FALSE)</f>
        <v>0</v>
      </c>
      <c r="AR60" s="554">
        <f>IF($G60="yes",IFERROR(Y60/Calculations!$C$228*Calculations!$G$228,0),0)</f>
        <v>60.290100000000002</v>
      </c>
      <c r="AS60" s="554">
        <f>IF($G60="yes",IFERROR(Z60/Calculations!$C$232*Calculations!$G$232,0),0)</f>
        <v>0</v>
      </c>
      <c r="AT60" s="554">
        <f t="shared" si="20"/>
        <v>60.290100000000002</v>
      </c>
      <c r="AU60" s="206" t="b">
        <f t="shared" si="51"/>
        <v>0</v>
      </c>
      <c r="AV60" s="291"/>
      <c r="AZ60" s="351" t="s">
        <v>654</v>
      </c>
      <c r="BA60" s="4"/>
    </row>
    <row r="61" spans="1:53" s="253" customFormat="1" ht="13" hidden="1" x14ac:dyDescent="0.3">
      <c r="A61" s="106" t="s">
        <v>361</v>
      </c>
      <c r="B61" s="452" t="s">
        <v>563</v>
      </c>
      <c r="C61" s="255"/>
      <c r="D61" s="308" t="s">
        <v>100</v>
      </c>
      <c r="E61" s="308" t="s">
        <v>100</v>
      </c>
      <c r="F61" s="255"/>
      <c r="G61" s="548" t="s">
        <v>100</v>
      </c>
      <c r="H61" s="255"/>
      <c r="I61" s="301" t="str">
        <f t="shared" si="32"/>
        <v/>
      </c>
      <c r="J61" s="301" t="b">
        <f t="shared" si="33"/>
        <v>1</v>
      </c>
      <c r="K61" s="301" t="str">
        <f t="shared" si="34"/>
        <v/>
      </c>
      <c r="L61" s="131" t="b">
        <f t="shared" si="7"/>
        <v>1</v>
      </c>
      <c r="M61" s="253" t="s">
        <v>675</v>
      </c>
      <c r="N61" s="253" t="b">
        <f>NOT(Inputs!$D$29='Drop-downs'!$K$21)</f>
        <v>1</v>
      </c>
      <c r="O61" s="253" t="s">
        <v>357</v>
      </c>
      <c r="P61" s="253" t="b">
        <v>1</v>
      </c>
      <c r="Q61" s="355">
        <v>0.02</v>
      </c>
      <c r="R61" s="355">
        <v>0.03</v>
      </c>
      <c r="S61" s="355">
        <v>0</v>
      </c>
      <c r="T61" s="355"/>
      <c r="U61" s="454">
        <v>6</v>
      </c>
      <c r="V61" s="454">
        <v>6</v>
      </c>
      <c r="W61" s="454">
        <v>10</v>
      </c>
      <c r="X61" s="454">
        <v>1.5</v>
      </c>
      <c r="Y61" s="302">
        <f>IFERROR(IF(Inputs!$D$29='Drop-downs'!$K$21,R61,Q61)*Calculations!$D$64,0)/1000</f>
        <v>3900</v>
      </c>
      <c r="Z61" s="302">
        <f>IFERROR(S61*Calculations!$D$65,0)</f>
        <v>0</v>
      </c>
      <c r="AA61" s="302">
        <f>IFERROR(T61*Calculations!$D$67,0)</f>
        <v>0</v>
      </c>
      <c r="AB61" s="303">
        <f>IFERROR(Y61*Calculations!$I$64,0)</f>
        <v>4960</v>
      </c>
      <c r="AC61" s="303">
        <f>IFERROR(Z61*Calculations!$I$65,0)</f>
        <v>0</v>
      </c>
      <c r="AD61" s="303">
        <f>IFERROR(AA61*Calculations!$I$67,0)</f>
        <v>0</v>
      </c>
      <c r="AE61" s="306">
        <f t="shared" si="13"/>
        <v>2480</v>
      </c>
      <c r="AF61" s="121">
        <f t="shared" si="14"/>
        <v>7440</v>
      </c>
      <c r="AG61" s="120">
        <f t="shared" si="15"/>
        <v>44640</v>
      </c>
      <c r="AH61" s="303">
        <f>IFERROR(Y61*Calculations!$J$64,0)</f>
        <v>4960</v>
      </c>
      <c r="AI61" s="303">
        <f>IFERROR(Z61*Calculations!$J$65,0)</f>
        <v>0</v>
      </c>
      <c r="AJ61" s="303">
        <f>IFERROR(AA61*Calculations!$J$67,0)</f>
        <v>0</v>
      </c>
      <c r="AK61" s="306">
        <f t="shared" si="35"/>
        <v>2480</v>
      </c>
      <c r="AL61" s="121">
        <f t="shared" si="9"/>
        <v>7440</v>
      </c>
      <c r="AM61" s="206">
        <f t="shared" si="16"/>
        <v>4.5</v>
      </c>
      <c r="AN61" s="206">
        <f t="shared" si="17"/>
        <v>6</v>
      </c>
      <c r="AO61" s="206">
        <f t="shared" si="18"/>
        <v>7.5</v>
      </c>
      <c r="AP61" s="220" t="b">
        <f t="shared" si="36"/>
        <v>0</v>
      </c>
      <c r="AQ61" s="304" t="b">
        <f>IFERROR(AN61&lt;=Inputs!$P$51,FALSE)</f>
        <v>0</v>
      </c>
      <c r="AR61" s="554">
        <f>IF($G61="yes",IFERROR(Y61/Calculations!$C$228*Calculations!$G$228,0),0)</f>
        <v>200.96700000000001</v>
      </c>
      <c r="AS61" s="554">
        <f>IF($G61="yes",IFERROR(Z61/Calculations!$C$232*Calculations!$G$232,0),0)</f>
        <v>0</v>
      </c>
      <c r="AT61" s="554">
        <f t="shared" si="20"/>
        <v>200.96700000000001</v>
      </c>
      <c r="AU61" s="206" t="b">
        <f t="shared" si="51"/>
        <v>0</v>
      </c>
      <c r="AV61" s="291"/>
      <c r="AZ61" s="351" t="s">
        <v>655</v>
      </c>
      <c r="BA61" s="4"/>
    </row>
    <row r="62" spans="1:53" s="253" customFormat="1" ht="37.5" hidden="1" x14ac:dyDescent="0.25">
      <c r="A62" s="106" t="s">
        <v>361</v>
      </c>
      <c r="B62" s="307" t="s">
        <v>791</v>
      </c>
      <c r="C62" s="308" t="s">
        <v>100</v>
      </c>
      <c r="D62" s="308" t="s">
        <v>100</v>
      </c>
      <c r="E62" s="308" t="s">
        <v>100</v>
      </c>
      <c r="F62" s="308" t="s">
        <v>100</v>
      </c>
      <c r="G62" s="548" t="s">
        <v>100</v>
      </c>
      <c r="H62" s="255"/>
      <c r="I62" s="301" t="b">
        <f t="shared" si="32"/>
        <v>1</v>
      </c>
      <c r="J62" s="301" t="b">
        <f t="shared" si="33"/>
        <v>1</v>
      </c>
      <c r="K62" s="301" t="b">
        <f t="shared" si="34"/>
        <v>0</v>
      </c>
      <c r="L62" s="131" t="b">
        <f t="shared" si="7"/>
        <v>1</v>
      </c>
      <c r="M62" s="253" t="s">
        <v>348</v>
      </c>
      <c r="N62" s="253" t="b">
        <v>1</v>
      </c>
      <c r="O62" s="253" t="s">
        <v>357</v>
      </c>
      <c r="P62" s="253" t="b">
        <v>1</v>
      </c>
      <c r="Q62" s="355">
        <v>0.02</v>
      </c>
      <c r="R62" s="355">
        <v>0.02</v>
      </c>
      <c r="S62" s="355">
        <v>0.02</v>
      </c>
      <c r="T62" s="355">
        <v>0.02</v>
      </c>
      <c r="U62" s="454">
        <v>1</v>
      </c>
      <c r="V62" s="454">
        <v>2</v>
      </c>
      <c r="W62" s="454">
        <v>3</v>
      </c>
      <c r="X62" s="454">
        <v>1</v>
      </c>
      <c r="Y62" s="302">
        <f>IFERROR(IF(Inputs!$D$29='Drop-downs'!$K$21,R62,Q62)*Calculations!$D$64,0)/1000</f>
        <v>3900</v>
      </c>
      <c r="Z62" s="302">
        <f>IFERROR(S62*Calculations!$D$65,0)</f>
        <v>280000</v>
      </c>
      <c r="AA62" s="302">
        <f>IFERROR(T62*Calculations!$D$67,0)</f>
        <v>12000</v>
      </c>
      <c r="AB62" s="303">
        <f>IFERROR(Y62*Calculations!$I$64,0)</f>
        <v>4960</v>
      </c>
      <c r="AC62" s="303">
        <f>IFERROR(Z62*Calculations!$I$65,0)</f>
        <v>43000</v>
      </c>
      <c r="AD62" s="303">
        <f>IFERROR(AA62*Calculations!$I$67,0)</f>
        <v>46500</v>
      </c>
      <c r="AE62" s="306">
        <f t="shared" si="13"/>
        <v>0</v>
      </c>
      <c r="AF62" s="121">
        <f t="shared" si="14"/>
        <v>94460</v>
      </c>
      <c r="AG62" s="120">
        <f t="shared" si="15"/>
        <v>188920</v>
      </c>
      <c r="AH62" s="303">
        <f>IFERROR(Y62*Calculations!$J$64,0)</f>
        <v>4960</v>
      </c>
      <c r="AI62" s="303">
        <f>IFERROR(Z62*Calculations!$J$65,0)</f>
        <v>43000</v>
      </c>
      <c r="AJ62" s="303">
        <f>IFERROR(AA62*Calculations!$J$67,0)</f>
        <v>46500</v>
      </c>
      <c r="AK62" s="306">
        <f t="shared" si="35"/>
        <v>0</v>
      </c>
      <c r="AL62" s="121">
        <f t="shared" si="9"/>
        <v>94460</v>
      </c>
      <c r="AM62" s="206">
        <f t="shared" si="16"/>
        <v>1.5</v>
      </c>
      <c r="AN62" s="206">
        <f t="shared" si="17"/>
        <v>2</v>
      </c>
      <c r="AO62" s="206">
        <f t="shared" si="18"/>
        <v>2.5</v>
      </c>
      <c r="AP62" s="220" t="b">
        <f t="shared" si="36"/>
        <v>0</v>
      </c>
      <c r="AQ62" s="304" t="b">
        <f>IFERROR(AN62&lt;=Inputs!$P$51,FALSE)</f>
        <v>1</v>
      </c>
      <c r="AR62" s="554">
        <f>IF($G62="yes",IFERROR(Y62/Calculations!$C$228*Calculations!$G$228,0),0)</f>
        <v>200.96700000000001</v>
      </c>
      <c r="AS62" s="554">
        <f>IF($G62="yes",IFERROR(Z62/Calculations!$C$232*Calculations!$G$232,0),0)</f>
        <v>274.40000000000003</v>
      </c>
      <c r="AT62" s="554">
        <f t="shared" si="20"/>
        <v>475.36700000000008</v>
      </c>
      <c r="AU62" s="206" t="b">
        <f t="shared" si="51"/>
        <v>1</v>
      </c>
      <c r="AV62" s="455"/>
      <c r="AZ62" s="351" t="s">
        <v>656</v>
      </c>
      <c r="BA62" s="4"/>
    </row>
    <row r="63" spans="1:53" s="253" customFormat="1" ht="13" hidden="1" x14ac:dyDescent="0.3">
      <c r="A63" s="106" t="s">
        <v>538</v>
      </c>
      <c r="B63" s="450" t="s">
        <v>668</v>
      </c>
      <c r="C63" s="255"/>
      <c r="D63" s="255"/>
      <c r="E63" s="255"/>
      <c r="F63" s="308" t="s">
        <v>100</v>
      </c>
      <c r="G63" s="548" t="s">
        <v>100</v>
      </c>
      <c r="H63" s="255"/>
      <c r="I63" s="301" t="str">
        <f t="shared" si="32"/>
        <v/>
      </c>
      <c r="J63" s="301" t="str">
        <f t="shared" si="33"/>
        <v/>
      </c>
      <c r="K63" s="301" t="b">
        <f t="shared" si="34"/>
        <v>0</v>
      </c>
      <c r="L63" s="131" t="b">
        <f t="shared" si="7"/>
        <v>0</v>
      </c>
      <c r="M63" s="253" t="s">
        <v>348</v>
      </c>
      <c r="N63" s="253" t="b">
        <v>1</v>
      </c>
      <c r="O63" s="253" t="s">
        <v>357</v>
      </c>
      <c r="P63" s="253" t="b">
        <v>1</v>
      </c>
      <c r="Q63" s="355">
        <v>5.0000000000000001E-3</v>
      </c>
      <c r="R63" s="355">
        <v>8.0000000000000002E-3</v>
      </c>
      <c r="S63" s="355">
        <v>-2.0000000000000002E-5</v>
      </c>
      <c r="T63" s="355"/>
      <c r="U63" s="454">
        <v>3</v>
      </c>
      <c r="V63" s="454">
        <v>4</v>
      </c>
      <c r="W63" s="454">
        <v>5</v>
      </c>
      <c r="X63" s="454">
        <v>1</v>
      </c>
      <c r="Y63" s="302">
        <f>IFERROR(IF(Inputs!$D$29='Drop-downs'!$K$21,R63,Q63)*Calculations!$D$64,0)/1000</f>
        <v>975</v>
      </c>
      <c r="Z63" s="302">
        <f>IFERROR(S63*Calculations!$D$65,0)</f>
        <v>-280</v>
      </c>
      <c r="AA63" s="302">
        <f>IFERROR(T63*Calculations!$D$67,0)</f>
        <v>0</v>
      </c>
      <c r="AB63" s="303">
        <f>IFERROR(Y63*Calculations!$I$64,0)</f>
        <v>1240</v>
      </c>
      <c r="AC63" s="303">
        <f>IFERROR(Z63*Calculations!$I$65,0)</f>
        <v>-43</v>
      </c>
      <c r="AD63" s="303">
        <f>IFERROR(AA63*Calculations!$I$67,0)</f>
        <v>0</v>
      </c>
      <c r="AE63" s="306">
        <f t="shared" si="13"/>
        <v>0</v>
      </c>
      <c r="AF63" s="121">
        <f t="shared" si="14"/>
        <v>1197</v>
      </c>
      <c r="AG63" s="120">
        <f t="shared" si="15"/>
        <v>4788</v>
      </c>
      <c r="AH63" s="303">
        <f>IFERROR(Y63*Calculations!$J$64,0)</f>
        <v>1240</v>
      </c>
      <c r="AI63" s="303">
        <f>IFERROR(Z63*Calculations!$J$65,0)</f>
        <v>-43</v>
      </c>
      <c r="AJ63" s="303">
        <f>IFERROR(AA63*Calculations!$J$67,0)</f>
        <v>0</v>
      </c>
      <c r="AK63" s="306">
        <f t="shared" si="35"/>
        <v>0</v>
      </c>
      <c r="AL63" s="121">
        <f t="shared" si="9"/>
        <v>1197</v>
      </c>
      <c r="AM63" s="206">
        <f t="shared" si="16"/>
        <v>3</v>
      </c>
      <c r="AN63" s="206">
        <f t="shared" si="17"/>
        <v>4</v>
      </c>
      <c r="AO63" s="206">
        <f t="shared" si="18"/>
        <v>5</v>
      </c>
      <c r="AP63" s="220" t="b">
        <f t="shared" si="36"/>
        <v>0</v>
      </c>
      <c r="AQ63" s="304" t="b">
        <f>IFERROR(AN63&lt;=Inputs!$P$51,FALSE)</f>
        <v>0</v>
      </c>
      <c r="AR63" s="554">
        <f>IF($G63="yes",IFERROR(Y63/Calculations!$C$228*Calculations!$G$228,0),0)</f>
        <v>50.241750000000003</v>
      </c>
      <c r="AS63" s="554">
        <f>IF($G63="yes",IFERROR(Z63/Calculations!$C$232*Calculations!$G$232,0),0)</f>
        <v>-0.27439999999999998</v>
      </c>
      <c r="AT63" s="554">
        <f t="shared" si="20"/>
        <v>49.967350000000003</v>
      </c>
      <c r="AU63" s="206" t="b">
        <f t="shared" si="51"/>
        <v>0</v>
      </c>
      <c r="AV63" s="350" t="s">
        <v>952</v>
      </c>
      <c r="AZ63" s="351" t="s">
        <v>657</v>
      </c>
      <c r="BA63" s="4"/>
    </row>
    <row r="64" spans="1:53" s="253" customFormat="1" hidden="1" x14ac:dyDescent="0.25">
      <c r="A64" s="106" t="s">
        <v>361</v>
      </c>
      <c r="B64" s="299" t="s">
        <v>1044</v>
      </c>
      <c r="C64" s="255"/>
      <c r="D64" s="255"/>
      <c r="E64" s="255"/>
      <c r="F64" s="308" t="s">
        <v>100</v>
      </c>
      <c r="G64" s="548" t="s">
        <v>100</v>
      </c>
      <c r="H64" s="255"/>
      <c r="I64" s="301" t="str">
        <f t="shared" si="32"/>
        <v/>
      </c>
      <c r="J64" s="301" t="str">
        <f t="shared" si="33"/>
        <v/>
      </c>
      <c r="K64" s="301" t="b">
        <f t="shared" si="34"/>
        <v>0</v>
      </c>
      <c r="L64" s="131" t="b">
        <f t="shared" si="7"/>
        <v>0</v>
      </c>
      <c r="M64" s="253" t="s">
        <v>348</v>
      </c>
      <c r="N64" s="253" t="b">
        <v>1</v>
      </c>
      <c r="O64" s="253" t="s">
        <v>357</v>
      </c>
      <c r="P64" s="253" t="b">
        <v>1</v>
      </c>
      <c r="Q64" s="355">
        <v>0</v>
      </c>
      <c r="R64" s="355">
        <v>0</v>
      </c>
      <c r="S64" s="355">
        <v>5.0000000000000001E-3</v>
      </c>
      <c r="T64" s="355"/>
      <c r="U64" s="454">
        <v>1</v>
      </c>
      <c r="V64" s="454">
        <v>2</v>
      </c>
      <c r="W64" s="454">
        <v>3</v>
      </c>
      <c r="X64" s="454">
        <v>1</v>
      </c>
      <c r="Y64" s="302">
        <f>IFERROR(IF(Inputs!$D$29='Drop-downs'!$K$21,R64,Q64)*Calculations!$D$64,0)/1000</f>
        <v>0</v>
      </c>
      <c r="Z64" s="302">
        <f>IFERROR(S64*Calculations!$D$65,0)</f>
        <v>70000</v>
      </c>
      <c r="AA64" s="302">
        <f>IFERROR(T64*Calculations!$D$67,0)</f>
        <v>0</v>
      </c>
      <c r="AB64" s="303">
        <f>IFERROR(Y64*Calculations!$I$64,0)</f>
        <v>0</v>
      </c>
      <c r="AC64" s="303">
        <f>IFERROR(Z64*Calculations!$I$65,0)</f>
        <v>10750</v>
      </c>
      <c r="AD64" s="303">
        <f>IFERROR(AA64*Calculations!$I$67,0)</f>
        <v>0</v>
      </c>
      <c r="AE64" s="306">
        <f t="shared" si="13"/>
        <v>0</v>
      </c>
      <c r="AF64" s="121">
        <f t="shared" si="14"/>
        <v>10750</v>
      </c>
      <c r="AG64" s="120">
        <f t="shared" si="15"/>
        <v>21500</v>
      </c>
      <c r="AH64" s="303">
        <f>IFERROR(Y64*Calculations!$J$64,0)</f>
        <v>0</v>
      </c>
      <c r="AI64" s="303">
        <f>IFERROR(Z64*Calculations!$J$65,0)</f>
        <v>10750</v>
      </c>
      <c r="AJ64" s="303">
        <f>IFERROR(AA64*Calculations!$J$67,0)</f>
        <v>0</v>
      </c>
      <c r="AK64" s="306">
        <f t="shared" si="35"/>
        <v>0</v>
      </c>
      <c r="AL64" s="121">
        <f t="shared" si="9"/>
        <v>10750</v>
      </c>
      <c r="AM64" s="206">
        <f t="shared" si="16"/>
        <v>1.5</v>
      </c>
      <c r="AN64" s="206">
        <f t="shared" si="17"/>
        <v>2</v>
      </c>
      <c r="AO64" s="206">
        <f t="shared" si="18"/>
        <v>2.5</v>
      </c>
      <c r="AP64" s="220" t="b">
        <f t="shared" si="36"/>
        <v>0</v>
      </c>
      <c r="AQ64" s="304" t="b">
        <f>IFERROR(AN64&lt;=Inputs!$P$51,FALSE)</f>
        <v>1</v>
      </c>
      <c r="AR64" s="554">
        <f>IF($G64="yes",IFERROR(Y64/Calculations!$C$228*Calculations!$G$228,0),0)</f>
        <v>0</v>
      </c>
      <c r="AS64" s="554">
        <f>IF($G64="yes",IFERROR(Z64/Calculations!$C$232*Calculations!$G$232,0),0)</f>
        <v>68.600000000000009</v>
      </c>
      <c r="AT64" s="554">
        <f t="shared" si="20"/>
        <v>68.600000000000009</v>
      </c>
      <c r="AU64" s="206" t="b">
        <f t="shared" si="51"/>
        <v>0</v>
      </c>
      <c r="AV64" s="455"/>
      <c r="AZ64" s="351" t="s">
        <v>658</v>
      </c>
      <c r="BA64" s="4"/>
    </row>
    <row r="65" spans="1:53" s="253" customFormat="1" ht="112.5" hidden="1" x14ac:dyDescent="0.25">
      <c r="A65" s="106" t="s">
        <v>372</v>
      </c>
      <c r="B65" s="307" t="s">
        <v>1045</v>
      </c>
      <c r="C65" s="308" t="s">
        <v>100</v>
      </c>
      <c r="D65" s="255"/>
      <c r="E65" s="255"/>
      <c r="F65" s="255"/>
      <c r="G65" s="548" t="s">
        <v>100</v>
      </c>
      <c r="H65" s="255"/>
      <c r="I65" s="301" t="b">
        <f t="shared" si="32"/>
        <v>0</v>
      </c>
      <c r="J65" s="301" t="str">
        <f t="shared" si="33"/>
        <v/>
      </c>
      <c r="K65" s="301" t="str">
        <f t="shared" si="34"/>
        <v/>
      </c>
      <c r="L65" s="131" t="b">
        <f t="shared" si="7"/>
        <v>0</v>
      </c>
      <c r="M65" s="253" t="s">
        <v>348</v>
      </c>
      <c r="N65" s="253" t="b">
        <v>1</v>
      </c>
      <c r="O65" s="253" t="s">
        <v>357</v>
      </c>
      <c r="P65" s="253" t="b">
        <v>1</v>
      </c>
      <c r="Q65" s="355"/>
      <c r="R65" s="355"/>
      <c r="S65" s="355"/>
      <c r="T65" s="355">
        <v>3.0000000000000002E-2</v>
      </c>
      <c r="U65" s="454">
        <v>0.1</v>
      </c>
      <c r="V65" s="454">
        <v>0.2</v>
      </c>
      <c r="W65" s="454">
        <v>0.3</v>
      </c>
      <c r="X65" s="454">
        <v>1</v>
      </c>
      <c r="Y65" s="302">
        <f>IFERROR(IF(Inputs!$D$29='Drop-downs'!$K$21,R65,Q65)*Calculations!$D$64,0)/1000</f>
        <v>0</v>
      </c>
      <c r="Z65" s="302">
        <f>IFERROR(S65*Calculations!$D$65,0)</f>
        <v>0</v>
      </c>
      <c r="AA65" s="302">
        <f>IFERROR(T65*Calculations!$D$67,0)</f>
        <v>18000</v>
      </c>
      <c r="AB65" s="303">
        <f>IFERROR(Y65*Calculations!$I$64,0)</f>
        <v>0</v>
      </c>
      <c r="AC65" s="303">
        <f>IFERROR(Z65*Calculations!$I$65,0)</f>
        <v>0</v>
      </c>
      <c r="AD65" s="303">
        <f>IFERROR(AA65*Calculations!$I$67,0)</f>
        <v>69750</v>
      </c>
      <c r="AE65" s="306">
        <f t="shared" si="13"/>
        <v>0</v>
      </c>
      <c r="AF65" s="121">
        <f t="shared" si="14"/>
        <v>69750</v>
      </c>
      <c r="AG65" s="120">
        <f t="shared" si="15"/>
        <v>13950</v>
      </c>
      <c r="AH65" s="303">
        <f>IFERROR(Y65*Calculations!$J$64,0)</f>
        <v>0</v>
      </c>
      <c r="AI65" s="303">
        <f>IFERROR(Z65*Calculations!$J$65,0)</f>
        <v>0</v>
      </c>
      <c r="AJ65" s="303">
        <f>IFERROR(AA65*Calculations!$J$67,0)</f>
        <v>69750</v>
      </c>
      <c r="AK65" s="306">
        <f t="shared" si="35"/>
        <v>0</v>
      </c>
      <c r="AL65" s="121">
        <f t="shared" si="9"/>
        <v>69750</v>
      </c>
      <c r="AM65" s="206">
        <f t="shared" si="16"/>
        <v>0.15000000000000002</v>
      </c>
      <c r="AN65" s="206">
        <f t="shared" si="17"/>
        <v>0.2</v>
      </c>
      <c r="AO65" s="206">
        <f t="shared" si="18"/>
        <v>0.25</v>
      </c>
      <c r="AP65" s="220" t="b">
        <f t="shared" si="36"/>
        <v>0</v>
      </c>
      <c r="AQ65" s="304" t="b">
        <f>IFERROR(AN65&lt;=Inputs!$P$51,FALSE)</f>
        <v>1</v>
      </c>
      <c r="AR65" s="554">
        <f>IF($G65="yes",IFERROR(Y65/Calculations!$C$228*Calculations!$G$228,0),0)</f>
        <v>0</v>
      </c>
      <c r="AS65" s="554">
        <f>IF($G65="yes",IFERROR(Z65/Calculations!$C$232*Calculations!$G$232,0),0)</f>
        <v>0</v>
      </c>
      <c r="AT65" s="554">
        <f t="shared" si="20"/>
        <v>0</v>
      </c>
      <c r="AU65" s="206" t="b">
        <f t="shared" si="51"/>
        <v>0</v>
      </c>
      <c r="AV65" s="349" t="s">
        <v>790</v>
      </c>
      <c r="AZ65" s="351" t="s">
        <v>659</v>
      </c>
      <c r="BA65" s="4"/>
    </row>
    <row r="66" spans="1:53" s="253" customFormat="1" ht="50" hidden="1" x14ac:dyDescent="0.25">
      <c r="A66" s="106" t="s">
        <v>372</v>
      </c>
      <c r="B66" s="307" t="s">
        <v>607</v>
      </c>
      <c r="C66" s="308" t="s">
        <v>100</v>
      </c>
      <c r="D66" s="255"/>
      <c r="E66" s="255"/>
      <c r="F66" s="255"/>
      <c r="G66" s="548" t="s">
        <v>100</v>
      </c>
      <c r="H66" s="255"/>
      <c r="I66" s="301" t="b">
        <f t="shared" si="32"/>
        <v>0</v>
      </c>
      <c r="J66" s="301" t="str">
        <f t="shared" si="33"/>
        <v/>
      </c>
      <c r="K66" s="301" t="str">
        <f t="shared" si="34"/>
        <v/>
      </c>
      <c r="L66" s="131" t="b">
        <f t="shared" si="7"/>
        <v>0</v>
      </c>
      <c r="M66" s="253" t="s">
        <v>348</v>
      </c>
      <c r="N66" s="253" t="b">
        <v>1</v>
      </c>
      <c r="O66" s="253" t="s">
        <v>357</v>
      </c>
      <c r="P66" s="253" t="b">
        <v>1</v>
      </c>
      <c r="Q66" s="355"/>
      <c r="R66" s="355"/>
      <c r="S66" s="355"/>
      <c r="T66" s="355">
        <v>0.01</v>
      </c>
      <c r="U66" s="454">
        <v>0.1</v>
      </c>
      <c r="V66" s="454">
        <v>0.2</v>
      </c>
      <c r="W66" s="454">
        <v>0.3</v>
      </c>
      <c r="X66" s="454">
        <v>1</v>
      </c>
      <c r="Y66" s="302">
        <f>IFERROR(IF(Inputs!$D$29='Drop-downs'!$K$21,R66,Q66)*Calculations!$D$64,0)/1000</f>
        <v>0</v>
      </c>
      <c r="Z66" s="302">
        <f>IFERROR(S66*Calculations!$D$65,0)</f>
        <v>0</v>
      </c>
      <c r="AA66" s="302">
        <f>IFERROR(T66*Calculations!$D$67,0)</f>
        <v>6000</v>
      </c>
      <c r="AB66" s="303">
        <f>IFERROR(Y66*Calculations!$I$64,0)</f>
        <v>0</v>
      </c>
      <c r="AC66" s="303">
        <f>IFERROR(Z66*Calculations!$I$65,0)</f>
        <v>0</v>
      </c>
      <c r="AD66" s="303">
        <f>IFERROR(AA66*Calculations!$I$67,0)</f>
        <v>23250</v>
      </c>
      <c r="AE66" s="306">
        <f t="shared" si="13"/>
        <v>0</v>
      </c>
      <c r="AF66" s="121">
        <f t="shared" si="14"/>
        <v>23250</v>
      </c>
      <c r="AG66" s="120">
        <f t="shared" si="15"/>
        <v>4650</v>
      </c>
      <c r="AH66" s="303">
        <f>IFERROR(Y66*Calculations!$J$64,0)</f>
        <v>0</v>
      </c>
      <c r="AI66" s="303">
        <f>IFERROR(Z66*Calculations!$J$65,0)</f>
        <v>0</v>
      </c>
      <c r="AJ66" s="303">
        <f>IFERROR(AA66*Calculations!$J$67,0)</f>
        <v>23250</v>
      </c>
      <c r="AK66" s="306">
        <f t="shared" si="35"/>
        <v>0</v>
      </c>
      <c r="AL66" s="121">
        <f t="shared" si="9"/>
        <v>23250</v>
      </c>
      <c r="AM66" s="206">
        <f t="shared" si="16"/>
        <v>0.15000000000000002</v>
      </c>
      <c r="AN66" s="206">
        <f t="shared" si="17"/>
        <v>0.2</v>
      </c>
      <c r="AO66" s="206">
        <f t="shared" si="18"/>
        <v>0.25</v>
      </c>
      <c r="AP66" s="220" t="b">
        <f t="shared" si="36"/>
        <v>0</v>
      </c>
      <c r="AQ66" s="304" t="b">
        <f>IFERROR(AN66&lt;=Inputs!$P$51,FALSE)</f>
        <v>1</v>
      </c>
      <c r="AR66" s="554">
        <f>IF($G66="yes",IFERROR(Y66/Calculations!$C$228*Calculations!$G$228,0),0)</f>
        <v>0</v>
      </c>
      <c r="AS66" s="554">
        <f>IF($G66="yes",IFERROR(Z66/Calculations!$C$232*Calculations!$G$232,0),0)</f>
        <v>0</v>
      </c>
      <c r="AT66" s="554">
        <f t="shared" si="20"/>
        <v>0</v>
      </c>
      <c r="AU66" s="206" t="b">
        <f t="shared" si="51"/>
        <v>0</v>
      </c>
      <c r="AV66" s="349" t="s">
        <v>790</v>
      </c>
      <c r="AZ66" s="351" t="s">
        <v>660</v>
      </c>
      <c r="BA66" s="4"/>
    </row>
    <row r="67" spans="1:53" s="253" customFormat="1" ht="25" hidden="1" x14ac:dyDescent="0.25">
      <c r="A67" s="106" t="s">
        <v>372</v>
      </c>
      <c r="B67" s="307" t="s">
        <v>1046</v>
      </c>
      <c r="C67" s="308" t="s">
        <v>100</v>
      </c>
      <c r="D67" s="255"/>
      <c r="E67" s="255"/>
      <c r="F67" s="255"/>
      <c r="G67" s="548" t="s">
        <v>100</v>
      </c>
      <c r="H67" s="255"/>
      <c r="I67" s="301" t="b">
        <f t="shared" si="32"/>
        <v>0</v>
      </c>
      <c r="J67" s="301" t="str">
        <f t="shared" si="33"/>
        <v/>
      </c>
      <c r="K67" s="301" t="str">
        <f t="shared" si="34"/>
        <v/>
      </c>
      <c r="L67" s="131" t="b">
        <f t="shared" si="7"/>
        <v>0</v>
      </c>
      <c r="M67" s="253" t="s">
        <v>348</v>
      </c>
      <c r="N67" s="253" t="b">
        <v>1</v>
      </c>
      <c r="O67" s="253" t="s">
        <v>357</v>
      </c>
      <c r="P67" s="253" t="b">
        <v>1</v>
      </c>
      <c r="Q67" s="355"/>
      <c r="R67" s="355"/>
      <c r="S67" s="355"/>
      <c r="T67" s="355">
        <v>1.0000000000000002E-2</v>
      </c>
      <c r="U67" s="454">
        <v>0.1</v>
      </c>
      <c r="V67" s="454">
        <v>0.2</v>
      </c>
      <c r="W67" s="454">
        <v>0.3</v>
      </c>
      <c r="X67" s="454">
        <v>1</v>
      </c>
      <c r="Y67" s="302">
        <f>IFERROR(IF(Inputs!$D$29='Drop-downs'!$K$21,R67,Q67)*Calculations!$D$64,0)/1000</f>
        <v>0</v>
      </c>
      <c r="Z67" s="302">
        <f>IFERROR(S67*Calculations!$D$65,0)</f>
        <v>0</v>
      </c>
      <c r="AA67" s="302">
        <f>IFERROR(T67*Calculations!$D$67,0)</f>
        <v>6000.0000000000009</v>
      </c>
      <c r="AB67" s="303">
        <f>IFERROR(Y67*Calculations!$I$64,0)</f>
        <v>0</v>
      </c>
      <c r="AC67" s="303">
        <f>IFERROR(Z67*Calculations!$I$65,0)</f>
        <v>0</v>
      </c>
      <c r="AD67" s="303">
        <f>IFERROR(AA67*Calculations!$I$67,0)</f>
        <v>23250.000000000004</v>
      </c>
      <c r="AE67" s="306">
        <f t="shared" si="13"/>
        <v>0</v>
      </c>
      <c r="AF67" s="121">
        <f t="shared" si="14"/>
        <v>23250.000000000004</v>
      </c>
      <c r="AG67" s="120">
        <f t="shared" si="15"/>
        <v>4650.0000000000009</v>
      </c>
      <c r="AH67" s="303">
        <f>IFERROR(Y67*Calculations!$J$64,0)</f>
        <v>0</v>
      </c>
      <c r="AI67" s="303">
        <f>IFERROR(Z67*Calculations!$J$65,0)</f>
        <v>0</v>
      </c>
      <c r="AJ67" s="303">
        <f>IFERROR(AA67*Calculations!$J$67,0)</f>
        <v>23250.000000000004</v>
      </c>
      <c r="AK67" s="306">
        <f t="shared" si="35"/>
        <v>0</v>
      </c>
      <c r="AL67" s="121">
        <f t="shared" si="9"/>
        <v>23250.000000000004</v>
      </c>
      <c r="AM67" s="206">
        <f t="shared" si="16"/>
        <v>0.15000000000000002</v>
      </c>
      <c r="AN67" s="206">
        <f t="shared" si="17"/>
        <v>0.2</v>
      </c>
      <c r="AO67" s="206">
        <f t="shared" si="18"/>
        <v>0.25</v>
      </c>
      <c r="AP67" s="220" t="b">
        <f t="shared" si="36"/>
        <v>0</v>
      </c>
      <c r="AQ67" s="304" t="b">
        <f>IFERROR(AN67&lt;=Inputs!$P$51,FALSE)</f>
        <v>1</v>
      </c>
      <c r="AR67" s="554">
        <f>IF($G67="yes",IFERROR(Y67/Calculations!$C$228*Calculations!$G$228,0),0)</f>
        <v>0</v>
      </c>
      <c r="AS67" s="554">
        <f>IF($G67="yes",IFERROR(Z67/Calculations!$C$232*Calculations!$G$232,0),0)</f>
        <v>0</v>
      </c>
      <c r="AT67" s="554">
        <f t="shared" si="20"/>
        <v>0</v>
      </c>
      <c r="AU67" s="206" t="b">
        <f t="shared" si="51"/>
        <v>0</v>
      </c>
      <c r="AV67" s="349" t="s">
        <v>790</v>
      </c>
      <c r="AZ67" s="351" t="s">
        <v>661</v>
      </c>
      <c r="BA67" s="4"/>
    </row>
    <row r="68" spans="1:53" s="253" customFormat="1" ht="75" hidden="1" x14ac:dyDescent="0.25">
      <c r="A68" s="106" t="s">
        <v>372</v>
      </c>
      <c r="B68" s="307" t="s">
        <v>1047</v>
      </c>
      <c r="C68" s="308" t="s">
        <v>100</v>
      </c>
      <c r="D68" s="255"/>
      <c r="E68" s="255"/>
      <c r="F68" s="255"/>
      <c r="G68" s="548" t="s">
        <v>100</v>
      </c>
      <c r="H68" s="255"/>
      <c r="I68" s="301" t="b">
        <f t="shared" si="32"/>
        <v>0</v>
      </c>
      <c r="J68" s="301" t="str">
        <f t="shared" si="33"/>
        <v/>
      </c>
      <c r="K68" s="301" t="str">
        <f t="shared" si="34"/>
        <v/>
      </c>
      <c r="L68" s="131" t="b">
        <f t="shared" si="7"/>
        <v>0</v>
      </c>
      <c r="M68" s="253" t="s">
        <v>348</v>
      </c>
      <c r="N68" s="253" t="b">
        <v>1</v>
      </c>
      <c r="O68" s="253" t="s">
        <v>357</v>
      </c>
      <c r="P68" s="253" t="b">
        <v>1</v>
      </c>
      <c r="Q68" s="355"/>
      <c r="R68" s="355"/>
      <c r="S68" s="355"/>
      <c r="T68" s="355">
        <v>2.5000000000000001E-2</v>
      </c>
      <c r="U68" s="454">
        <v>0.1</v>
      </c>
      <c r="V68" s="454">
        <v>0.2</v>
      </c>
      <c r="W68" s="454">
        <v>0.3</v>
      </c>
      <c r="X68" s="454">
        <v>1</v>
      </c>
      <c r="Y68" s="302">
        <f>IFERROR(IF(Inputs!$D$29='Drop-downs'!$K$21,R68,Q68)*Calculations!$D$64,0)/1000</f>
        <v>0</v>
      </c>
      <c r="Z68" s="302">
        <f>IFERROR(S68*Calculations!$D$65,0)</f>
        <v>0</v>
      </c>
      <c r="AA68" s="302">
        <f>IFERROR(T68*Calculations!$D$67,0)</f>
        <v>15000</v>
      </c>
      <c r="AB68" s="303">
        <f>IFERROR(Y68*Calculations!$I$64,0)</f>
        <v>0</v>
      </c>
      <c r="AC68" s="303">
        <f>IFERROR(Z68*Calculations!$I$65,0)</f>
        <v>0</v>
      </c>
      <c r="AD68" s="303">
        <f>IFERROR(AA68*Calculations!$I$67,0)</f>
        <v>58125</v>
      </c>
      <c r="AE68" s="306">
        <f t="shared" si="13"/>
        <v>0</v>
      </c>
      <c r="AF68" s="121">
        <f t="shared" si="14"/>
        <v>58125</v>
      </c>
      <c r="AG68" s="120">
        <f t="shared" si="15"/>
        <v>11625</v>
      </c>
      <c r="AH68" s="303">
        <f>IFERROR(Y68*Calculations!$J$64,0)</f>
        <v>0</v>
      </c>
      <c r="AI68" s="303">
        <f>IFERROR(Z68*Calculations!$J$65,0)</f>
        <v>0</v>
      </c>
      <c r="AJ68" s="303">
        <f>IFERROR(AA68*Calculations!$J$67,0)</f>
        <v>58125</v>
      </c>
      <c r="AK68" s="306">
        <f t="shared" si="35"/>
        <v>0</v>
      </c>
      <c r="AL68" s="121">
        <f t="shared" si="9"/>
        <v>58125</v>
      </c>
      <c r="AM68" s="206">
        <f t="shared" si="16"/>
        <v>0.15000000000000002</v>
      </c>
      <c r="AN68" s="206">
        <f t="shared" si="17"/>
        <v>0.2</v>
      </c>
      <c r="AO68" s="206">
        <f t="shared" si="18"/>
        <v>0.25</v>
      </c>
      <c r="AP68" s="220" t="b">
        <f t="shared" si="36"/>
        <v>0</v>
      </c>
      <c r="AQ68" s="304" t="b">
        <f>IFERROR(AN68&lt;=Inputs!$P$51,FALSE)</f>
        <v>1</v>
      </c>
      <c r="AR68" s="554">
        <f>IF($G68="yes",IFERROR(Y68/Calculations!$C$228*Calculations!$G$228,0),0)</f>
        <v>0</v>
      </c>
      <c r="AS68" s="554">
        <f>IF($G68="yes",IFERROR(Z68/Calculations!$C$232*Calculations!$G$232,0),0)</f>
        <v>0</v>
      </c>
      <c r="AT68" s="554">
        <f t="shared" si="20"/>
        <v>0</v>
      </c>
      <c r="AU68" s="206" t="b">
        <f t="shared" si="51"/>
        <v>0</v>
      </c>
      <c r="AV68" s="349" t="s">
        <v>790</v>
      </c>
      <c r="AZ68" s="351" t="s">
        <v>662</v>
      </c>
      <c r="BA68" s="4"/>
    </row>
    <row r="69" spans="1:53" s="253" customFormat="1" ht="75" hidden="1" x14ac:dyDescent="0.25">
      <c r="A69" s="106" t="s">
        <v>372</v>
      </c>
      <c r="B69" s="307" t="s">
        <v>1048</v>
      </c>
      <c r="C69" s="308" t="s">
        <v>100</v>
      </c>
      <c r="D69" s="255"/>
      <c r="E69" s="255"/>
      <c r="F69" s="255"/>
      <c r="G69" s="548" t="s">
        <v>100</v>
      </c>
      <c r="H69" s="255"/>
      <c r="I69" s="301" t="b">
        <f t="shared" si="32"/>
        <v>0</v>
      </c>
      <c r="J69" s="301" t="str">
        <f t="shared" si="33"/>
        <v/>
      </c>
      <c r="K69" s="301" t="str">
        <f t="shared" si="34"/>
        <v/>
      </c>
      <c r="L69" s="131" t="b">
        <f t="shared" si="7"/>
        <v>0</v>
      </c>
      <c r="M69" s="253" t="s">
        <v>348</v>
      </c>
      <c r="N69" s="253" t="b">
        <v>1</v>
      </c>
      <c r="O69" s="253" t="s">
        <v>357</v>
      </c>
      <c r="P69" s="253" t="b">
        <v>1</v>
      </c>
      <c r="Q69" s="355"/>
      <c r="R69" s="355"/>
      <c r="S69" s="355"/>
      <c r="T69" s="355">
        <v>3.5000000000000003E-2</v>
      </c>
      <c r="U69" s="454">
        <v>0.5</v>
      </c>
      <c r="V69" s="454">
        <v>1</v>
      </c>
      <c r="W69" s="454">
        <v>1.5</v>
      </c>
      <c r="X69" s="454">
        <v>1</v>
      </c>
      <c r="Y69" s="302">
        <f>IFERROR(IF(Inputs!$D$29='Drop-downs'!$K$21,R69,Q69)*Calculations!$D$64,0)/1000</f>
        <v>0</v>
      </c>
      <c r="Z69" s="302">
        <f>IFERROR(S69*Calculations!$D$65,0)</f>
        <v>0</v>
      </c>
      <c r="AA69" s="302">
        <f>IFERROR(T69*Calculations!$D$67,0)</f>
        <v>21000.000000000004</v>
      </c>
      <c r="AB69" s="303">
        <f>IFERROR(Y69*Calculations!$I$64,0)</f>
        <v>0</v>
      </c>
      <c r="AC69" s="303">
        <f>IFERROR(Z69*Calculations!$I$65,0)</f>
        <v>0</v>
      </c>
      <c r="AD69" s="303">
        <f>IFERROR(AA69*Calculations!$I$67,0)</f>
        <v>81375.000000000015</v>
      </c>
      <c r="AE69" s="306">
        <f t="shared" si="13"/>
        <v>0</v>
      </c>
      <c r="AF69" s="121">
        <f t="shared" si="14"/>
        <v>81375.000000000015</v>
      </c>
      <c r="AG69" s="120">
        <f t="shared" si="15"/>
        <v>81375.000000000015</v>
      </c>
      <c r="AH69" s="303">
        <f>IFERROR(Y69*Calculations!$J$64,0)</f>
        <v>0</v>
      </c>
      <c r="AI69" s="303">
        <f>IFERROR(Z69*Calculations!$J$65,0)</f>
        <v>0</v>
      </c>
      <c r="AJ69" s="303">
        <f>IFERROR(AA69*Calculations!$J$67,0)</f>
        <v>81375.000000000015</v>
      </c>
      <c r="AK69" s="306">
        <f t="shared" si="35"/>
        <v>0</v>
      </c>
      <c r="AL69" s="121">
        <f t="shared" si="9"/>
        <v>81375.000000000015</v>
      </c>
      <c r="AM69" s="206">
        <f t="shared" si="16"/>
        <v>0.75</v>
      </c>
      <c r="AN69" s="206">
        <f t="shared" si="17"/>
        <v>1</v>
      </c>
      <c r="AO69" s="206">
        <f t="shared" si="18"/>
        <v>1.25</v>
      </c>
      <c r="AP69" s="220" t="b">
        <f t="shared" si="36"/>
        <v>0</v>
      </c>
      <c r="AQ69" s="304" t="b">
        <f>IFERROR(AN69&lt;=Inputs!$P$51,FALSE)</f>
        <v>1</v>
      </c>
      <c r="AR69" s="554">
        <f>IF($G69="yes",IFERROR(Y69/Calculations!$C$228*Calculations!$G$228,0),0)</f>
        <v>0</v>
      </c>
      <c r="AS69" s="554">
        <f>IF($G69="yes",IFERROR(Z69/Calculations!$C$232*Calculations!$G$232,0),0)</f>
        <v>0</v>
      </c>
      <c r="AT69" s="554">
        <f t="shared" si="20"/>
        <v>0</v>
      </c>
      <c r="AU69" s="206" t="b">
        <f t="shared" si="51"/>
        <v>0</v>
      </c>
      <c r="AV69" s="349" t="s">
        <v>790</v>
      </c>
      <c r="AZ69" s="351" t="s">
        <v>663</v>
      </c>
      <c r="BA69" s="4"/>
    </row>
    <row r="70" spans="1:53" s="253" customFormat="1" ht="62.5" hidden="1" x14ac:dyDescent="0.25">
      <c r="A70" s="106" t="s">
        <v>372</v>
      </c>
      <c r="B70" s="307" t="s">
        <v>608</v>
      </c>
      <c r="C70" s="308" t="s">
        <v>100</v>
      </c>
      <c r="D70" s="255"/>
      <c r="E70" s="255"/>
      <c r="F70" s="255"/>
      <c r="G70" s="548" t="s">
        <v>100</v>
      </c>
      <c r="H70" s="255"/>
      <c r="I70" s="301" t="b">
        <f t="shared" si="32"/>
        <v>0</v>
      </c>
      <c r="J70" s="301" t="str">
        <f t="shared" si="33"/>
        <v/>
      </c>
      <c r="K70" s="301" t="str">
        <f t="shared" si="34"/>
        <v/>
      </c>
      <c r="L70" s="131" t="b">
        <f t="shared" si="7"/>
        <v>0</v>
      </c>
      <c r="M70" s="253" t="s">
        <v>348</v>
      </c>
      <c r="N70" s="253" t="b">
        <v>1</v>
      </c>
      <c r="O70" s="253" t="s">
        <v>357</v>
      </c>
      <c r="P70" s="253" t="b">
        <v>1</v>
      </c>
      <c r="Q70" s="355"/>
      <c r="R70" s="355"/>
      <c r="S70" s="355"/>
      <c r="T70" s="355">
        <v>1.2000000000000002E-2</v>
      </c>
      <c r="U70" s="454">
        <v>0</v>
      </c>
      <c r="V70" s="454">
        <v>0.25</v>
      </c>
      <c r="W70" s="454">
        <v>0.5</v>
      </c>
      <c r="X70" s="454">
        <v>1</v>
      </c>
      <c r="Y70" s="302">
        <f>IFERROR(IF(Inputs!$D$29='Drop-downs'!$K$21,R70,Q70)*Calculations!$D$64,0)/1000</f>
        <v>0</v>
      </c>
      <c r="Z70" s="302">
        <f>IFERROR(S70*Calculations!$D$65,0)</f>
        <v>0</v>
      </c>
      <c r="AA70" s="302">
        <f>IFERROR(T70*Calculations!$D$67,0)</f>
        <v>7200.0000000000009</v>
      </c>
      <c r="AB70" s="303">
        <f>IFERROR(Y70*Calculations!$I$64,0)</f>
        <v>0</v>
      </c>
      <c r="AC70" s="303">
        <f>IFERROR(Z70*Calculations!$I$65,0)</f>
        <v>0</v>
      </c>
      <c r="AD70" s="303">
        <f>IFERROR(AA70*Calculations!$I$67,0)</f>
        <v>27900.000000000004</v>
      </c>
      <c r="AE70" s="306">
        <f t="shared" si="13"/>
        <v>0</v>
      </c>
      <c r="AF70" s="121">
        <f t="shared" si="14"/>
        <v>27900.000000000004</v>
      </c>
      <c r="AG70" s="120">
        <f t="shared" si="15"/>
        <v>6975.0000000000009</v>
      </c>
      <c r="AH70" s="303">
        <f>IFERROR(Y70*Calculations!$J$64,0)</f>
        <v>0</v>
      </c>
      <c r="AI70" s="303">
        <f>IFERROR(Z70*Calculations!$J$65,0)</f>
        <v>0</v>
      </c>
      <c r="AJ70" s="303">
        <f>IFERROR(AA70*Calculations!$J$67,0)</f>
        <v>27900.000000000004</v>
      </c>
      <c r="AK70" s="306">
        <f t="shared" si="35"/>
        <v>0</v>
      </c>
      <c r="AL70" s="121">
        <f t="shared" si="9"/>
        <v>27900.000000000004</v>
      </c>
      <c r="AM70" s="206">
        <f t="shared" si="16"/>
        <v>0.1875</v>
      </c>
      <c r="AN70" s="206">
        <f t="shared" si="17"/>
        <v>0.25</v>
      </c>
      <c r="AO70" s="206">
        <f t="shared" si="18"/>
        <v>0.3125</v>
      </c>
      <c r="AP70" s="220" t="b">
        <f t="shared" si="36"/>
        <v>0</v>
      </c>
      <c r="AQ70" s="304" t="b">
        <f>IFERROR(AN70&lt;=Inputs!$P$51,FALSE)</f>
        <v>1</v>
      </c>
      <c r="AR70" s="554">
        <f>IF($G70="yes",IFERROR(Y70/Calculations!$C$228*Calculations!$G$228,0),0)</f>
        <v>0</v>
      </c>
      <c r="AS70" s="554">
        <f>IF($G70="yes",IFERROR(Z70/Calculations!$C$232*Calculations!$G$232,0),0)</f>
        <v>0</v>
      </c>
      <c r="AT70" s="554">
        <f t="shared" si="20"/>
        <v>0</v>
      </c>
      <c r="AU70" s="206" t="b">
        <f t="shared" si="51"/>
        <v>0</v>
      </c>
      <c r="AV70" s="349" t="s">
        <v>790</v>
      </c>
      <c r="AZ70" s="351" t="s">
        <v>1049</v>
      </c>
      <c r="BA70" s="4"/>
    </row>
    <row r="71" spans="1:53" s="253" customFormat="1" ht="50" hidden="1" x14ac:dyDescent="0.25">
      <c r="A71" s="106" t="s">
        <v>372</v>
      </c>
      <c r="B71" s="307" t="s">
        <v>564</v>
      </c>
      <c r="C71" s="308" t="s">
        <v>100</v>
      </c>
      <c r="D71" s="255"/>
      <c r="E71" s="255"/>
      <c r="F71" s="255"/>
      <c r="G71" s="548" t="s">
        <v>100</v>
      </c>
      <c r="H71" s="255"/>
      <c r="I71" s="301" t="b">
        <f t="shared" si="32"/>
        <v>0</v>
      </c>
      <c r="J71" s="301" t="str">
        <f t="shared" si="33"/>
        <v/>
      </c>
      <c r="K71" s="301" t="str">
        <f t="shared" si="34"/>
        <v/>
      </c>
      <c r="L71" s="131" t="b">
        <f t="shared" si="7"/>
        <v>0</v>
      </c>
      <c r="M71" s="253" t="s">
        <v>348</v>
      </c>
      <c r="N71" s="253" t="b">
        <v>1</v>
      </c>
      <c r="O71" s="253" t="s">
        <v>357</v>
      </c>
      <c r="P71" s="253" t="b">
        <v>1</v>
      </c>
      <c r="Q71" s="355"/>
      <c r="R71" s="355"/>
      <c r="S71" s="355"/>
      <c r="T71" s="355">
        <v>5.0000000000000001E-3</v>
      </c>
      <c r="U71" s="454">
        <v>0.25</v>
      </c>
      <c r="V71" s="454">
        <v>0.5</v>
      </c>
      <c r="W71" s="454">
        <v>1</v>
      </c>
      <c r="X71" s="454">
        <v>1</v>
      </c>
      <c r="Y71" s="302">
        <f>IFERROR(IF(Inputs!$D$29='Drop-downs'!$K$21,R71,Q71)*Calculations!$D$64,0)/1000</f>
        <v>0</v>
      </c>
      <c r="Z71" s="302">
        <f>IFERROR(S71*Calculations!$D$65,0)</f>
        <v>0</v>
      </c>
      <c r="AA71" s="302">
        <f>IFERROR(T71*Calculations!$D$67,0)</f>
        <v>3000</v>
      </c>
      <c r="AB71" s="303">
        <f>IFERROR(Y71*Calculations!$I$64,0)</f>
        <v>0</v>
      </c>
      <c r="AC71" s="303">
        <f>IFERROR(Z71*Calculations!$I$65,0)</f>
        <v>0</v>
      </c>
      <c r="AD71" s="303">
        <f>IFERROR(AA71*Calculations!$I$67,0)</f>
        <v>11625</v>
      </c>
      <c r="AE71" s="306">
        <f t="shared" si="13"/>
        <v>0</v>
      </c>
      <c r="AF71" s="121">
        <f t="shared" si="14"/>
        <v>11625</v>
      </c>
      <c r="AG71" s="120">
        <f t="shared" si="15"/>
        <v>5812.5</v>
      </c>
      <c r="AH71" s="303">
        <f>IFERROR(Y71*Calculations!$J$64,0)</f>
        <v>0</v>
      </c>
      <c r="AI71" s="303">
        <f>IFERROR(Z71*Calculations!$J$65,0)</f>
        <v>0</v>
      </c>
      <c r="AJ71" s="303">
        <f>IFERROR(AA71*Calculations!$J$67,0)</f>
        <v>11625</v>
      </c>
      <c r="AK71" s="306">
        <f t="shared" si="35"/>
        <v>0</v>
      </c>
      <c r="AL71" s="121">
        <f t="shared" si="9"/>
        <v>11625</v>
      </c>
      <c r="AM71" s="206">
        <f t="shared" si="16"/>
        <v>0.375</v>
      </c>
      <c r="AN71" s="206">
        <f t="shared" si="17"/>
        <v>0.5</v>
      </c>
      <c r="AO71" s="206">
        <f t="shared" si="18"/>
        <v>0.625</v>
      </c>
      <c r="AP71" s="220" t="b">
        <f t="shared" si="36"/>
        <v>0</v>
      </c>
      <c r="AQ71" s="304" t="b">
        <f>IFERROR(AN71&lt;=Inputs!$P$51,FALSE)</f>
        <v>1</v>
      </c>
      <c r="AR71" s="554">
        <f>IF($G71="yes",IFERROR(Y71/Calculations!$C$228*Calculations!$G$228,0),0)</f>
        <v>0</v>
      </c>
      <c r="AS71" s="554">
        <f>IF($G71="yes",IFERROR(Z71/Calculations!$C$232*Calculations!$G$232,0),0)</f>
        <v>0</v>
      </c>
      <c r="AT71" s="554">
        <f t="shared" si="20"/>
        <v>0</v>
      </c>
      <c r="AU71" s="206" t="b">
        <f t="shared" si="51"/>
        <v>0</v>
      </c>
      <c r="AV71" s="349" t="s">
        <v>790</v>
      </c>
      <c r="AZ71" s="351" t="s">
        <v>664</v>
      </c>
      <c r="BA71" s="4"/>
    </row>
    <row r="72" spans="1:53" s="253" customFormat="1" ht="37.5" hidden="1" x14ac:dyDescent="0.25">
      <c r="A72" s="106" t="s">
        <v>372</v>
      </c>
      <c r="B72" s="307" t="s">
        <v>565</v>
      </c>
      <c r="C72" s="308" t="s">
        <v>100</v>
      </c>
      <c r="D72" s="255"/>
      <c r="E72" s="255"/>
      <c r="F72" s="255"/>
      <c r="G72" s="548" t="s">
        <v>100</v>
      </c>
      <c r="H72" s="255"/>
      <c r="I72" s="301" t="b">
        <f t="shared" si="32"/>
        <v>0</v>
      </c>
      <c r="J72" s="301" t="str">
        <f t="shared" si="33"/>
        <v/>
      </c>
      <c r="K72" s="301" t="str">
        <f t="shared" si="34"/>
        <v/>
      </c>
      <c r="L72" s="131" t="b">
        <f t="shared" si="7"/>
        <v>0</v>
      </c>
      <c r="M72" s="253" t="s">
        <v>348</v>
      </c>
      <c r="N72" s="253" t="b">
        <v>1</v>
      </c>
      <c r="O72" s="253" t="s">
        <v>357</v>
      </c>
      <c r="P72" s="253" t="b">
        <v>1</v>
      </c>
      <c r="Q72" s="355"/>
      <c r="R72" s="355"/>
      <c r="S72" s="355"/>
      <c r="T72" s="355">
        <v>6.000000000000001E-3</v>
      </c>
      <c r="U72" s="454">
        <v>0.5</v>
      </c>
      <c r="V72" s="454">
        <v>1</v>
      </c>
      <c r="W72" s="454">
        <v>1.5</v>
      </c>
      <c r="X72" s="454">
        <v>1</v>
      </c>
      <c r="Y72" s="302">
        <f>IFERROR(IF(Inputs!$D$29='Drop-downs'!$K$21,R72,Q72)*Calculations!$D$64,0)/1000</f>
        <v>0</v>
      </c>
      <c r="Z72" s="302">
        <f>IFERROR(S72*Calculations!$D$65,0)</f>
        <v>0</v>
      </c>
      <c r="AA72" s="302">
        <f>IFERROR(T72*Calculations!$D$67,0)</f>
        <v>3600.0000000000005</v>
      </c>
      <c r="AB72" s="303">
        <f>IFERROR(Y72*Calculations!$I$64,0)</f>
        <v>0</v>
      </c>
      <c r="AC72" s="303">
        <f>IFERROR(Z72*Calculations!$I$65,0)</f>
        <v>0</v>
      </c>
      <c r="AD72" s="303">
        <f>IFERROR(AA72*Calculations!$I$67,0)</f>
        <v>13950.000000000002</v>
      </c>
      <c r="AE72" s="306">
        <f t="shared" si="13"/>
        <v>0</v>
      </c>
      <c r="AF72" s="121">
        <f t="shared" si="14"/>
        <v>13950.000000000002</v>
      </c>
      <c r="AG72" s="120">
        <f t="shared" si="15"/>
        <v>13950.000000000002</v>
      </c>
      <c r="AH72" s="303">
        <f>IFERROR(Y72*Calculations!$J$64,0)</f>
        <v>0</v>
      </c>
      <c r="AI72" s="303">
        <f>IFERROR(Z72*Calculations!$J$65,0)</f>
        <v>0</v>
      </c>
      <c r="AJ72" s="303">
        <f>IFERROR(AA72*Calculations!$J$67,0)</f>
        <v>13950.000000000002</v>
      </c>
      <c r="AK72" s="306">
        <f t="shared" si="35"/>
        <v>0</v>
      </c>
      <c r="AL72" s="121">
        <f t="shared" si="9"/>
        <v>13950.000000000002</v>
      </c>
      <c r="AM72" s="206">
        <f t="shared" si="16"/>
        <v>0.75</v>
      </c>
      <c r="AN72" s="206">
        <f t="shared" si="17"/>
        <v>1</v>
      </c>
      <c r="AO72" s="206">
        <f t="shared" si="18"/>
        <v>1.25</v>
      </c>
      <c r="AP72" s="220" t="b">
        <f t="shared" si="36"/>
        <v>0</v>
      </c>
      <c r="AQ72" s="304" t="b">
        <f>IFERROR(AN72&lt;=Inputs!$P$51,FALSE)</f>
        <v>1</v>
      </c>
      <c r="AR72" s="554">
        <f>IF($G72="yes",IFERROR(Y72/Calculations!$C$228*Calculations!$G$228,0),0)</f>
        <v>0</v>
      </c>
      <c r="AS72" s="554">
        <f>IF($G72="yes",IFERROR(Z72/Calculations!$C$232*Calculations!$G$232,0),0)</f>
        <v>0</v>
      </c>
      <c r="AT72" s="554">
        <f t="shared" si="20"/>
        <v>0</v>
      </c>
      <c r="AU72" s="206" t="b">
        <f t="shared" si="51"/>
        <v>0</v>
      </c>
      <c r="AV72" s="349" t="s">
        <v>790</v>
      </c>
      <c r="AZ72" s="351" t="s">
        <v>665</v>
      </c>
      <c r="BA72" s="4"/>
    </row>
    <row r="73" spans="1:53" s="253" customFormat="1" x14ac:dyDescent="0.25">
      <c r="A73" s="106" t="s">
        <v>372</v>
      </c>
      <c r="B73" s="299" t="s">
        <v>1050</v>
      </c>
      <c r="C73" s="255"/>
      <c r="D73" s="308" t="s">
        <v>100</v>
      </c>
      <c r="E73" s="308" t="s">
        <v>100</v>
      </c>
      <c r="F73" s="255"/>
      <c r="G73" s="548" t="s">
        <v>100</v>
      </c>
      <c r="H73" s="255"/>
      <c r="I73" s="301" t="str">
        <f t="shared" si="32"/>
        <v/>
      </c>
      <c r="J73" s="301" t="b">
        <f t="shared" si="33"/>
        <v>0</v>
      </c>
      <c r="K73" s="301" t="str">
        <f t="shared" si="34"/>
        <v/>
      </c>
      <c r="L73" s="131" t="b">
        <f t="shared" si="7"/>
        <v>0</v>
      </c>
      <c r="M73" s="253" t="s">
        <v>348</v>
      </c>
      <c r="N73" s="253" t="b">
        <v>1</v>
      </c>
      <c r="O73" s="253" t="s">
        <v>357</v>
      </c>
      <c r="P73" s="253" t="b">
        <v>1</v>
      </c>
      <c r="Q73" s="355">
        <v>5.0000000000000001E-3</v>
      </c>
      <c r="R73" s="355">
        <v>0.01</v>
      </c>
      <c r="S73" s="355">
        <v>0</v>
      </c>
      <c r="T73" s="355">
        <v>0.02</v>
      </c>
      <c r="U73" s="454">
        <v>0.5</v>
      </c>
      <c r="V73" s="454">
        <v>1.25</v>
      </c>
      <c r="W73" s="454">
        <v>2</v>
      </c>
      <c r="X73" s="454">
        <v>1</v>
      </c>
      <c r="Y73" s="302">
        <f>IFERROR(IF(Inputs!$D$29='Drop-downs'!$K$21,R73,Q73)*Calculations!$D$64,0)/1000</f>
        <v>975</v>
      </c>
      <c r="Z73" s="302">
        <f>IFERROR(S73*Calculations!$D$65,0)</f>
        <v>0</v>
      </c>
      <c r="AA73" s="302">
        <f>IFERROR(T73*Calculations!$D$67,0)</f>
        <v>12000</v>
      </c>
      <c r="AB73" s="303">
        <f>IFERROR(Y73*Calculations!$I$64,0)</f>
        <v>1240</v>
      </c>
      <c r="AC73" s="303">
        <f>IFERROR(Z73*Calculations!$I$65,0)</f>
        <v>0</v>
      </c>
      <c r="AD73" s="303">
        <f>IFERROR(AA73*Calculations!$I$67,0)</f>
        <v>46500</v>
      </c>
      <c r="AE73" s="306">
        <f t="shared" si="13"/>
        <v>0</v>
      </c>
      <c r="AF73" s="121">
        <f t="shared" si="14"/>
        <v>47740</v>
      </c>
      <c r="AG73" s="120">
        <f t="shared" si="15"/>
        <v>59675</v>
      </c>
      <c r="AH73" s="303">
        <f>IFERROR(Y73*Calculations!$J$64,0)</f>
        <v>1240</v>
      </c>
      <c r="AI73" s="303">
        <f>IFERROR(Z73*Calculations!$J$65,0)</f>
        <v>0</v>
      </c>
      <c r="AJ73" s="303">
        <f>IFERROR(AA73*Calculations!$J$67,0)</f>
        <v>46500</v>
      </c>
      <c r="AK73" s="306">
        <f t="shared" si="35"/>
        <v>0</v>
      </c>
      <c r="AL73" s="121">
        <f t="shared" si="9"/>
        <v>47740</v>
      </c>
      <c r="AM73" s="206">
        <f t="shared" si="16"/>
        <v>0.9375</v>
      </c>
      <c r="AN73" s="206">
        <f t="shared" si="17"/>
        <v>1.25</v>
      </c>
      <c r="AO73" s="206">
        <f t="shared" si="18"/>
        <v>1.5625</v>
      </c>
      <c r="AP73" s="220" t="b">
        <f t="shared" si="36"/>
        <v>0</v>
      </c>
      <c r="AQ73" s="304" t="b">
        <f>IFERROR(AN73&lt;=Inputs!$P$51,FALSE)</f>
        <v>1</v>
      </c>
      <c r="AR73" s="554">
        <f>IF($G73="yes",IFERROR(Y73/Calculations!$C$228*Calculations!$G$228,0),0)</f>
        <v>50.241750000000003</v>
      </c>
      <c r="AS73" s="554">
        <f>IF($G73="yes",IFERROR(Z73/Calculations!$C$232*Calculations!$G$232,0),0)</f>
        <v>0</v>
      </c>
      <c r="AT73" s="554">
        <f t="shared" si="20"/>
        <v>50.241750000000003</v>
      </c>
      <c r="AU73" s="206" t="b">
        <f t="shared" si="51"/>
        <v>0</v>
      </c>
      <c r="AV73" s="291"/>
      <c r="AZ73" s="351" t="s">
        <v>666</v>
      </c>
      <c r="BA73" s="4"/>
    </row>
    <row r="74" spans="1:53" s="253" customFormat="1" x14ac:dyDescent="0.25">
      <c r="A74" s="106" t="s">
        <v>372</v>
      </c>
      <c r="B74" s="299" t="s">
        <v>1051</v>
      </c>
      <c r="C74" s="255"/>
      <c r="D74" s="308" t="s">
        <v>100</v>
      </c>
      <c r="E74" s="308" t="s">
        <v>100</v>
      </c>
      <c r="F74" s="255"/>
      <c r="G74" s="548" t="s">
        <v>100</v>
      </c>
      <c r="H74" s="255"/>
      <c r="I74" s="301" t="str">
        <f t="shared" si="32"/>
        <v/>
      </c>
      <c r="J74" s="301" t="b">
        <f t="shared" si="33"/>
        <v>0</v>
      </c>
      <c r="K74" s="301" t="str">
        <f t="shared" si="34"/>
        <v/>
      </c>
      <c r="L74" s="131" t="b">
        <f t="shared" si="7"/>
        <v>0</v>
      </c>
      <c r="M74" s="253" t="s">
        <v>348</v>
      </c>
      <c r="N74" s="253" t="b">
        <v>1</v>
      </c>
      <c r="O74" s="253" t="s">
        <v>357</v>
      </c>
      <c r="P74" s="253" t="b">
        <v>1</v>
      </c>
      <c r="Q74" s="355">
        <v>5.0000000000000001E-3</v>
      </c>
      <c r="R74" s="355">
        <v>0.01</v>
      </c>
      <c r="S74" s="355">
        <v>0</v>
      </c>
      <c r="T74" s="355"/>
      <c r="U74" s="454">
        <v>0.5</v>
      </c>
      <c r="V74" s="454">
        <v>1</v>
      </c>
      <c r="W74" s="454">
        <v>1.5</v>
      </c>
      <c r="X74" s="454">
        <v>1</v>
      </c>
      <c r="Y74" s="302">
        <f>IFERROR(IF(Inputs!$D$29='Drop-downs'!$K$21,R74,Q74)*Calculations!$D$64,0)/1000</f>
        <v>975</v>
      </c>
      <c r="Z74" s="302">
        <f>IFERROR(S74*Calculations!$D$65,0)</f>
        <v>0</v>
      </c>
      <c r="AA74" s="302">
        <f>IFERROR(T74*Calculations!$D$67,0)</f>
        <v>0</v>
      </c>
      <c r="AB74" s="303">
        <f>IFERROR(Y74*Calculations!$I$64,0)</f>
        <v>1240</v>
      </c>
      <c r="AC74" s="303">
        <f>IFERROR(Z74*Calculations!$I$65,0)</f>
        <v>0</v>
      </c>
      <c r="AD74" s="303">
        <f>IFERROR(AA74*Calculations!$I$67,0)</f>
        <v>0</v>
      </c>
      <c r="AE74" s="306">
        <f t="shared" si="13"/>
        <v>0</v>
      </c>
      <c r="AF74" s="121">
        <f t="shared" si="14"/>
        <v>1240</v>
      </c>
      <c r="AG74" s="120">
        <f t="shared" si="15"/>
        <v>1240</v>
      </c>
      <c r="AH74" s="303">
        <f>IFERROR(Y74*Calculations!$J$64,0)</f>
        <v>1240</v>
      </c>
      <c r="AI74" s="303">
        <f>IFERROR(Z74*Calculations!$J$65,0)</f>
        <v>0</v>
      </c>
      <c r="AJ74" s="303">
        <f>IFERROR(AA74*Calculations!$J$67,0)</f>
        <v>0</v>
      </c>
      <c r="AK74" s="306">
        <f t="shared" si="35"/>
        <v>0</v>
      </c>
      <c r="AL74" s="121">
        <f t="shared" si="9"/>
        <v>1240</v>
      </c>
      <c r="AM74" s="206">
        <f t="shared" si="16"/>
        <v>0.75</v>
      </c>
      <c r="AN74" s="206">
        <f t="shared" si="17"/>
        <v>1</v>
      </c>
      <c r="AO74" s="206">
        <f t="shared" si="18"/>
        <v>1.25</v>
      </c>
      <c r="AP74" s="220" t="b">
        <f t="shared" si="36"/>
        <v>0</v>
      </c>
      <c r="AQ74" s="304" t="b">
        <f>IFERROR(AN74&lt;=Inputs!$P$51,FALSE)</f>
        <v>1</v>
      </c>
      <c r="AR74" s="554">
        <f>IF($G74="yes",IFERROR(Y74/Calculations!$C$228*Calculations!$G$228,0),0)</f>
        <v>50.241750000000003</v>
      </c>
      <c r="AS74" s="554">
        <f>IF($G74="yes",IFERROR(Z74/Calculations!$C$232*Calculations!$G$232,0),0)</f>
        <v>0</v>
      </c>
      <c r="AT74" s="554">
        <f t="shared" si="20"/>
        <v>50.241750000000003</v>
      </c>
      <c r="AU74" s="206" t="b">
        <f t="shared" si="51"/>
        <v>0</v>
      </c>
      <c r="AV74" s="349" t="s">
        <v>790</v>
      </c>
      <c r="AZ74" s="351" t="s">
        <v>667</v>
      </c>
      <c r="BA74" s="4"/>
    </row>
    <row r="75" spans="1:53" s="253" customFormat="1" x14ac:dyDescent="0.25">
      <c r="A75" s="106" t="s">
        <v>372</v>
      </c>
      <c r="B75" s="299" t="s">
        <v>1052</v>
      </c>
      <c r="C75" s="255"/>
      <c r="D75" s="308" t="s">
        <v>100</v>
      </c>
      <c r="E75" s="308" t="s">
        <v>100</v>
      </c>
      <c r="F75" s="255"/>
      <c r="G75" s="548" t="s">
        <v>100</v>
      </c>
      <c r="H75" s="255"/>
      <c r="I75" s="301" t="str">
        <f t="shared" si="32"/>
        <v/>
      </c>
      <c r="J75" s="301" t="b">
        <f t="shared" si="33"/>
        <v>0</v>
      </c>
      <c r="K75" s="301" t="str">
        <f t="shared" si="34"/>
        <v/>
      </c>
      <c r="L75" s="131" t="b">
        <f t="shared" si="7"/>
        <v>0</v>
      </c>
      <c r="M75" s="253" t="s">
        <v>348</v>
      </c>
      <c r="N75" s="253" t="b">
        <v>1</v>
      </c>
      <c r="O75" s="253" t="s">
        <v>357</v>
      </c>
      <c r="P75" s="253" t="b">
        <v>1</v>
      </c>
      <c r="Q75" s="355">
        <v>5.0000000000000001E-3</v>
      </c>
      <c r="R75" s="355">
        <v>0.01</v>
      </c>
      <c r="S75" s="355">
        <v>0</v>
      </c>
      <c r="T75" s="355"/>
      <c r="U75" s="454">
        <v>0</v>
      </c>
      <c r="V75" s="454">
        <v>0.1</v>
      </c>
      <c r="W75" s="454">
        <v>0.2</v>
      </c>
      <c r="X75" s="454">
        <v>1</v>
      </c>
      <c r="Y75" s="302">
        <f>IFERROR(IF(Inputs!$D$29='Drop-downs'!$K$21,R75,Q75)*Calculations!$D$64,0)/1000</f>
        <v>975</v>
      </c>
      <c r="Z75" s="302">
        <f>IFERROR(S75*Calculations!$D$65,0)</f>
        <v>0</v>
      </c>
      <c r="AA75" s="302">
        <f>IFERROR(T75*Calculations!$D$67,0)</f>
        <v>0</v>
      </c>
      <c r="AB75" s="303">
        <f>IFERROR(Y75*Calculations!$I$64,0)</f>
        <v>1240</v>
      </c>
      <c r="AC75" s="303">
        <f>IFERROR(Z75*Calculations!$I$65,0)</f>
        <v>0</v>
      </c>
      <c r="AD75" s="303">
        <f>IFERROR(AA75*Calculations!$I$67,0)</f>
        <v>0</v>
      </c>
      <c r="AE75" s="306">
        <f t="shared" si="13"/>
        <v>0</v>
      </c>
      <c r="AF75" s="121">
        <f t="shared" si="14"/>
        <v>1240</v>
      </c>
      <c r="AG75" s="120">
        <f t="shared" si="15"/>
        <v>124</v>
      </c>
      <c r="AH75" s="303">
        <f>IFERROR(Y75*Calculations!$J$64,0)</f>
        <v>1240</v>
      </c>
      <c r="AI75" s="303">
        <f>IFERROR(Z75*Calculations!$J$65,0)</f>
        <v>0</v>
      </c>
      <c r="AJ75" s="303">
        <f>IFERROR(AA75*Calculations!$J$67,0)</f>
        <v>0</v>
      </c>
      <c r="AK75" s="306">
        <f t="shared" si="35"/>
        <v>0</v>
      </c>
      <c r="AL75" s="121">
        <f t="shared" si="9"/>
        <v>1240</v>
      </c>
      <c r="AM75" s="206">
        <f t="shared" si="16"/>
        <v>7.5000000000000011E-2</v>
      </c>
      <c r="AN75" s="206">
        <f t="shared" si="17"/>
        <v>0.1</v>
      </c>
      <c r="AO75" s="206">
        <f t="shared" si="18"/>
        <v>0.125</v>
      </c>
      <c r="AP75" s="220" t="b">
        <f t="shared" si="36"/>
        <v>0</v>
      </c>
      <c r="AQ75" s="304" t="b">
        <f>IFERROR(AN75&lt;=Inputs!$P$51,FALSE)</f>
        <v>1</v>
      </c>
      <c r="AR75" s="554">
        <f>IF($G75="yes",IFERROR(Y75/Calculations!$C$228*Calculations!$G$228,0),0)</f>
        <v>50.241750000000003</v>
      </c>
      <c r="AS75" s="554">
        <f>IF($G75="yes",IFERROR(Z75/Calculations!$C$232*Calculations!$G$232,0),0)</f>
        <v>0</v>
      </c>
      <c r="AT75" s="554">
        <f t="shared" si="20"/>
        <v>50.241750000000003</v>
      </c>
      <c r="AU75" s="206" t="b">
        <f t="shared" si="51"/>
        <v>0</v>
      </c>
      <c r="AV75" s="349" t="s">
        <v>790</v>
      </c>
      <c r="AZ75" s="4"/>
      <c r="BA75" s="4"/>
    </row>
    <row r="76" spans="1:53" s="253" customFormat="1" ht="50" x14ac:dyDescent="0.25">
      <c r="A76" s="106" t="s">
        <v>372</v>
      </c>
      <c r="B76" s="307" t="s">
        <v>609</v>
      </c>
      <c r="C76" s="308" t="s">
        <v>100</v>
      </c>
      <c r="D76" s="308" t="s">
        <v>100</v>
      </c>
      <c r="E76" s="308" t="s">
        <v>100</v>
      </c>
      <c r="F76" s="308" t="s">
        <v>100</v>
      </c>
      <c r="G76" s="548" t="s">
        <v>100</v>
      </c>
      <c r="H76" s="255"/>
      <c r="I76" s="301" t="b">
        <f t="shared" si="32"/>
        <v>0</v>
      </c>
      <c r="J76" s="301" t="b">
        <f t="shared" si="33"/>
        <v>0</v>
      </c>
      <c r="K76" s="301" t="b">
        <f t="shared" si="34"/>
        <v>0</v>
      </c>
      <c r="L76" s="131" t="b">
        <f t="shared" si="7"/>
        <v>0</v>
      </c>
      <c r="M76" s="253" t="s">
        <v>348</v>
      </c>
      <c r="N76" s="253" t="b">
        <v>1</v>
      </c>
      <c r="O76" s="253" t="s">
        <v>357</v>
      </c>
      <c r="P76" s="253" t="b">
        <v>1</v>
      </c>
      <c r="Q76" s="355">
        <v>0.02</v>
      </c>
      <c r="R76" s="355">
        <v>0.02</v>
      </c>
      <c r="S76" s="355">
        <v>0.01</v>
      </c>
      <c r="T76" s="355"/>
      <c r="U76" s="454">
        <v>0.25</v>
      </c>
      <c r="V76" s="454">
        <v>0.5</v>
      </c>
      <c r="W76" s="454">
        <v>0.75</v>
      </c>
      <c r="X76" s="454">
        <v>1</v>
      </c>
      <c r="Y76" s="302">
        <f>IFERROR(IF(Inputs!$D$29='Drop-downs'!$K$21,R76,Q76)*Calculations!$D$64,0)/1000</f>
        <v>3900</v>
      </c>
      <c r="Z76" s="302">
        <f>IFERROR(S76*Calculations!$D$65,0)</f>
        <v>140000</v>
      </c>
      <c r="AA76" s="302">
        <f>IFERROR(T76*Calculations!$D$67,0)</f>
        <v>0</v>
      </c>
      <c r="AB76" s="303">
        <f>IFERROR(Y76*Calculations!$I$64,0)</f>
        <v>4960</v>
      </c>
      <c r="AC76" s="303">
        <f>IFERROR(Z76*Calculations!$I$65,0)</f>
        <v>21500</v>
      </c>
      <c r="AD76" s="303">
        <f>IFERROR(AA76*Calculations!$I$67,0)</f>
        <v>0</v>
      </c>
      <c r="AE76" s="306">
        <f t="shared" si="13"/>
        <v>0</v>
      </c>
      <c r="AF76" s="121">
        <f t="shared" si="14"/>
        <v>26460</v>
      </c>
      <c r="AG76" s="120">
        <f t="shared" si="15"/>
        <v>13230</v>
      </c>
      <c r="AH76" s="303">
        <f>IFERROR(Y76*Calculations!$J$64,0)</f>
        <v>4960</v>
      </c>
      <c r="AI76" s="303">
        <f>IFERROR(Z76*Calculations!$J$65,0)</f>
        <v>21500</v>
      </c>
      <c r="AJ76" s="303">
        <f>IFERROR(AA76*Calculations!$J$67,0)</f>
        <v>0</v>
      </c>
      <c r="AK76" s="306">
        <f t="shared" si="35"/>
        <v>0</v>
      </c>
      <c r="AL76" s="121">
        <f t="shared" si="9"/>
        <v>26460</v>
      </c>
      <c r="AM76" s="206">
        <f t="shared" si="16"/>
        <v>0.375</v>
      </c>
      <c r="AN76" s="206">
        <f t="shared" si="17"/>
        <v>0.5</v>
      </c>
      <c r="AO76" s="206">
        <f t="shared" si="18"/>
        <v>0.625</v>
      </c>
      <c r="AP76" s="220" t="b">
        <f t="shared" si="36"/>
        <v>0</v>
      </c>
      <c r="AQ76" s="304" t="b">
        <f>IFERROR(AN76&lt;=Inputs!$P$51,FALSE)</f>
        <v>1</v>
      </c>
      <c r="AR76" s="554">
        <f>IF($G76="yes",IFERROR(Y76/Calculations!$C$228*Calculations!$G$228,0),0)</f>
        <v>200.96700000000001</v>
      </c>
      <c r="AS76" s="554">
        <f>IF($G76="yes",IFERROR(Z76/Calculations!$C$232*Calculations!$G$232,0),0)</f>
        <v>137.20000000000002</v>
      </c>
      <c r="AT76" s="554">
        <f t="shared" si="20"/>
        <v>338.16700000000003</v>
      </c>
      <c r="AU76" s="206" t="b">
        <f t="shared" si="51"/>
        <v>0</v>
      </c>
      <c r="AV76" s="349" t="s">
        <v>790</v>
      </c>
    </row>
    <row r="77" spans="1:53" s="253" customFormat="1" ht="13" hidden="1" x14ac:dyDescent="0.3">
      <c r="A77" s="106" t="s">
        <v>372</v>
      </c>
      <c r="B77" s="450" t="s">
        <v>1053</v>
      </c>
      <c r="C77" s="255"/>
      <c r="D77" s="255"/>
      <c r="E77" s="255"/>
      <c r="F77" s="308" t="s">
        <v>100</v>
      </c>
      <c r="G77" s="548" t="s">
        <v>100</v>
      </c>
      <c r="H77" s="255"/>
      <c r="I77" s="301" t="str">
        <f t="shared" si="32"/>
        <v/>
      </c>
      <c r="J77" s="301" t="str">
        <f t="shared" si="33"/>
        <v/>
      </c>
      <c r="K77" s="301" t="b">
        <f t="shared" si="34"/>
        <v>0</v>
      </c>
      <c r="L77" s="131" t="b">
        <f t="shared" si="7"/>
        <v>0</v>
      </c>
      <c r="M77" s="253" t="s">
        <v>348</v>
      </c>
      <c r="N77" s="253" t="b">
        <v>1</v>
      </c>
      <c r="O77" s="253" t="s">
        <v>357</v>
      </c>
      <c r="P77" s="253" t="b">
        <v>1</v>
      </c>
      <c r="Q77" s="355">
        <v>0</v>
      </c>
      <c r="R77" s="355">
        <v>0</v>
      </c>
      <c r="S77" s="355">
        <v>5.0000000000000001E-3</v>
      </c>
      <c r="T77" s="355"/>
      <c r="U77" s="454">
        <v>1</v>
      </c>
      <c r="V77" s="454">
        <v>2</v>
      </c>
      <c r="W77" s="454">
        <v>3</v>
      </c>
      <c r="X77" s="454">
        <v>1</v>
      </c>
      <c r="Y77" s="302">
        <f>IFERROR(IF(Inputs!$D$29='Drop-downs'!$K$21,R77,Q77)*Calculations!$D$64,0)/1000</f>
        <v>0</v>
      </c>
      <c r="Z77" s="302">
        <f>IFERROR(S77*Calculations!$D$65,0)</f>
        <v>70000</v>
      </c>
      <c r="AA77" s="302">
        <f>IFERROR(T77*Calculations!$D$67,0)</f>
        <v>0</v>
      </c>
      <c r="AB77" s="303">
        <f>IFERROR(Y77*Calculations!$I$64,0)</f>
        <v>0</v>
      </c>
      <c r="AC77" s="303">
        <f>IFERROR(Z77*Calculations!$I$65,0)</f>
        <v>10750</v>
      </c>
      <c r="AD77" s="303">
        <f>IFERROR(AA77*Calculations!$I$67,0)</f>
        <v>0</v>
      </c>
      <c r="AE77" s="306">
        <f t="shared" si="13"/>
        <v>0</v>
      </c>
      <c r="AF77" s="121">
        <f t="shared" si="14"/>
        <v>10750</v>
      </c>
      <c r="AG77" s="120">
        <f t="shared" si="15"/>
        <v>21500</v>
      </c>
      <c r="AH77" s="303">
        <f>IFERROR(Y77*Calculations!$J$64,0)</f>
        <v>0</v>
      </c>
      <c r="AI77" s="303">
        <f>IFERROR(Z77*Calculations!$J$65,0)</f>
        <v>10750</v>
      </c>
      <c r="AJ77" s="303">
        <f>IFERROR(AA77*Calculations!$J$67,0)</f>
        <v>0</v>
      </c>
      <c r="AK77" s="306">
        <f t="shared" si="35"/>
        <v>0</v>
      </c>
      <c r="AL77" s="121">
        <f t="shared" si="9"/>
        <v>10750</v>
      </c>
      <c r="AM77" s="206">
        <f t="shared" si="16"/>
        <v>1.5</v>
      </c>
      <c r="AN77" s="206">
        <f t="shared" si="17"/>
        <v>2</v>
      </c>
      <c r="AO77" s="206">
        <f t="shared" si="18"/>
        <v>2.5</v>
      </c>
      <c r="AP77" s="220" t="b">
        <f t="shared" si="36"/>
        <v>0</v>
      </c>
      <c r="AQ77" s="304" t="b">
        <f>IFERROR(AN77&lt;=Inputs!$P$51,FALSE)</f>
        <v>1</v>
      </c>
      <c r="AR77" s="554">
        <f>IF($G77="yes",IFERROR(Y77/Calculations!$C$228*Calculations!$G$228,0),0)</f>
        <v>0</v>
      </c>
      <c r="AS77" s="554">
        <f>IF($G77="yes",IFERROR(Z77/Calculations!$C$232*Calculations!$G$232,0),0)</f>
        <v>68.600000000000009</v>
      </c>
      <c r="AT77" s="554">
        <f t="shared" si="20"/>
        <v>68.600000000000009</v>
      </c>
      <c r="AU77" s="206" t="b">
        <f t="shared" si="51"/>
        <v>0</v>
      </c>
      <c r="AV77" s="455"/>
    </row>
    <row r="78" spans="1:53" s="253" customFormat="1" ht="13" hidden="1" x14ac:dyDescent="0.3">
      <c r="A78" s="106" t="s">
        <v>372</v>
      </c>
      <c r="B78" s="450" t="s">
        <v>1054</v>
      </c>
      <c r="C78" s="255"/>
      <c r="D78" s="255"/>
      <c r="E78" s="255"/>
      <c r="F78" s="308" t="s">
        <v>100</v>
      </c>
      <c r="G78" s="548" t="s">
        <v>100</v>
      </c>
      <c r="H78" s="255"/>
      <c r="I78" s="301" t="str">
        <f t="shared" si="32"/>
        <v/>
      </c>
      <c r="J78" s="301" t="str">
        <f t="shared" si="33"/>
        <v/>
      </c>
      <c r="K78" s="301" t="b">
        <f t="shared" si="34"/>
        <v>0</v>
      </c>
      <c r="L78" s="131" t="b">
        <f t="shared" si="7"/>
        <v>0</v>
      </c>
      <c r="M78" s="253" t="s">
        <v>348</v>
      </c>
      <c r="N78" s="253" t="b">
        <v>1</v>
      </c>
      <c r="O78" s="253" t="s">
        <v>357</v>
      </c>
      <c r="P78" s="253" t="b">
        <v>1</v>
      </c>
      <c r="Q78" s="355">
        <v>2.9060381013884403E-3</v>
      </c>
      <c r="R78" s="355">
        <v>2.9060381013884403E-3</v>
      </c>
      <c r="S78" s="355">
        <v>5.0000000000000001E-3</v>
      </c>
      <c r="T78" s="355"/>
      <c r="U78" s="454">
        <v>0.5</v>
      </c>
      <c r="V78" s="454">
        <v>1</v>
      </c>
      <c r="W78" s="454">
        <v>1.5</v>
      </c>
      <c r="X78" s="454">
        <v>1</v>
      </c>
      <c r="Y78" s="302">
        <f>IFERROR(IF(Inputs!$D$29='Drop-downs'!$K$21,R78,Q78)*Calculations!$D$64,0)/1000</f>
        <v>566.67742977074579</v>
      </c>
      <c r="Z78" s="302">
        <f>IFERROR(S78*Calculations!$D$65,0)</f>
        <v>70000</v>
      </c>
      <c r="AA78" s="302">
        <f>IFERROR(T78*Calculations!$D$67,0)</f>
        <v>0</v>
      </c>
      <c r="AB78" s="303">
        <f>IFERROR(Y78*Calculations!$I$64,0)</f>
        <v>720.69744914433306</v>
      </c>
      <c r="AC78" s="303">
        <f>IFERROR(Z78*Calculations!$I$65,0)</f>
        <v>10750</v>
      </c>
      <c r="AD78" s="303">
        <f>IFERROR(AA78*Calculations!$I$67,0)</f>
        <v>0</v>
      </c>
      <c r="AE78" s="306">
        <f t="shared" si="13"/>
        <v>0</v>
      </c>
      <c r="AF78" s="121">
        <f t="shared" si="14"/>
        <v>11470.697449144332</v>
      </c>
      <c r="AG78" s="120">
        <f t="shared" si="15"/>
        <v>11470.697449144332</v>
      </c>
      <c r="AH78" s="303">
        <f>IFERROR(Y78*Calculations!$J$64,0)</f>
        <v>720.69744914433306</v>
      </c>
      <c r="AI78" s="303">
        <f>IFERROR(Z78*Calculations!$J$65,0)</f>
        <v>10750</v>
      </c>
      <c r="AJ78" s="303">
        <f>IFERROR(AA78*Calculations!$J$67,0)</f>
        <v>0</v>
      </c>
      <c r="AK78" s="306">
        <f t="shared" si="35"/>
        <v>0</v>
      </c>
      <c r="AL78" s="121">
        <f t="shared" si="9"/>
        <v>11470.697449144332</v>
      </c>
      <c r="AM78" s="206">
        <f t="shared" si="16"/>
        <v>0.75</v>
      </c>
      <c r="AN78" s="206">
        <f t="shared" si="17"/>
        <v>1</v>
      </c>
      <c r="AO78" s="206">
        <f t="shared" si="18"/>
        <v>1.25</v>
      </c>
      <c r="AP78" s="220" t="b">
        <f t="shared" si="36"/>
        <v>0</v>
      </c>
      <c r="AQ78" s="304" t="b">
        <f>IFERROR(AN78&lt;=Inputs!$P$51,FALSE)</f>
        <v>1</v>
      </c>
      <c r="AR78" s="554">
        <f>IF($G78="yes",IFERROR(Y78/Calculations!$C$228*Calculations!$G$228,0),0)</f>
        <v>29.200887956086532</v>
      </c>
      <c r="AS78" s="554">
        <f>IF($G78="yes",IFERROR(Z78/Calculations!$C$232*Calculations!$G$232,0),0)</f>
        <v>68.600000000000009</v>
      </c>
      <c r="AT78" s="554">
        <f t="shared" si="20"/>
        <v>97.800887956086541</v>
      </c>
      <c r="AU78" s="206" t="b">
        <f t="shared" si="51"/>
        <v>0</v>
      </c>
      <c r="AV78" s="349" t="s">
        <v>790</v>
      </c>
    </row>
    <row r="79" spans="1:53" s="253" customFormat="1" hidden="1" x14ac:dyDescent="0.25">
      <c r="A79" s="106" t="s">
        <v>372</v>
      </c>
      <c r="B79" s="299" t="s">
        <v>873</v>
      </c>
      <c r="C79" s="255"/>
      <c r="D79" s="255"/>
      <c r="E79" s="255"/>
      <c r="F79" s="308" t="s">
        <v>100</v>
      </c>
      <c r="G79" s="548" t="s">
        <v>100</v>
      </c>
      <c r="H79" s="255"/>
      <c r="I79" s="301" t="str">
        <f t="shared" si="32"/>
        <v/>
      </c>
      <c r="J79" s="301" t="str">
        <f t="shared" si="33"/>
        <v/>
      </c>
      <c r="K79" s="301" t="b">
        <f t="shared" si="34"/>
        <v>0</v>
      </c>
      <c r="L79" s="131" t="b">
        <f t="shared" si="7"/>
        <v>0</v>
      </c>
      <c r="M79" s="253" t="s">
        <v>348</v>
      </c>
      <c r="N79" s="253" t="b">
        <v>1</v>
      </c>
      <c r="O79" s="253" t="s">
        <v>357</v>
      </c>
      <c r="P79" s="253" t="b">
        <v>1</v>
      </c>
      <c r="Q79" s="355">
        <v>0</v>
      </c>
      <c r="R79" s="355">
        <v>0</v>
      </c>
      <c r="S79" s="355">
        <v>5.0000000000000001E-3</v>
      </c>
      <c r="T79" s="355"/>
      <c r="U79" s="454">
        <v>0</v>
      </c>
      <c r="V79" s="454">
        <v>0.1</v>
      </c>
      <c r="W79" s="454">
        <v>0.2</v>
      </c>
      <c r="X79" s="454">
        <v>1</v>
      </c>
      <c r="Y79" s="302">
        <f>IFERROR(IF(Inputs!$D$29='Drop-downs'!$K$21,R79,Q79)*Calculations!$D$64,0)/1000</f>
        <v>0</v>
      </c>
      <c r="Z79" s="302">
        <f>IFERROR(S79*Calculations!$D$65,0)</f>
        <v>70000</v>
      </c>
      <c r="AA79" s="302">
        <f>IFERROR(T79*Calculations!$D$67,0)</f>
        <v>0</v>
      </c>
      <c r="AB79" s="303">
        <f>IFERROR(Y79*Calculations!$I$64,0)</f>
        <v>0</v>
      </c>
      <c r="AC79" s="303">
        <f>IFERROR(Z79*Calculations!$I$65,0)</f>
        <v>10750</v>
      </c>
      <c r="AD79" s="303">
        <f>IFERROR(AA79*Calculations!$I$67,0)</f>
        <v>0</v>
      </c>
      <c r="AE79" s="306">
        <f t="shared" si="13"/>
        <v>0</v>
      </c>
      <c r="AF79" s="121">
        <f t="shared" si="14"/>
        <v>10750</v>
      </c>
      <c r="AG79" s="120">
        <f t="shared" si="15"/>
        <v>1075</v>
      </c>
      <c r="AH79" s="303">
        <f>IFERROR(Y79*Calculations!$J$64,0)</f>
        <v>0</v>
      </c>
      <c r="AI79" s="303">
        <f>IFERROR(Z79*Calculations!$J$65,0)</f>
        <v>10750</v>
      </c>
      <c r="AJ79" s="303">
        <f>IFERROR(AA79*Calculations!$J$67,0)</f>
        <v>0</v>
      </c>
      <c r="AK79" s="306">
        <f t="shared" si="35"/>
        <v>0</v>
      </c>
      <c r="AL79" s="121">
        <f t="shared" si="9"/>
        <v>10750</v>
      </c>
      <c r="AM79" s="206">
        <f t="shared" si="16"/>
        <v>7.5000000000000011E-2</v>
      </c>
      <c r="AN79" s="206">
        <f t="shared" si="17"/>
        <v>0.1</v>
      </c>
      <c r="AO79" s="206">
        <f t="shared" si="18"/>
        <v>0.125</v>
      </c>
      <c r="AP79" s="220" t="b">
        <f t="shared" si="36"/>
        <v>0</v>
      </c>
      <c r="AQ79" s="304" t="b">
        <f>IFERROR(AN79&lt;=Inputs!$P$51,FALSE)</f>
        <v>1</v>
      </c>
      <c r="AR79" s="554">
        <f>IF($G79="yes",IFERROR(Y79/Calculations!$C$228*Calculations!$G$228,0),0)</f>
        <v>0</v>
      </c>
      <c r="AS79" s="554">
        <f>IF($G79="yes",IFERROR(Z79/Calculations!$C$232*Calculations!$G$232,0),0)</f>
        <v>68.600000000000009</v>
      </c>
      <c r="AT79" s="554">
        <f t="shared" si="20"/>
        <v>68.600000000000009</v>
      </c>
      <c r="AU79" s="206" t="b">
        <f t="shared" si="51"/>
        <v>0</v>
      </c>
      <c r="AV79" s="455"/>
    </row>
    <row r="80" spans="1:53" s="253" customFormat="1" ht="25" hidden="1" x14ac:dyDescent="0.25">
      <c r="A80" s="106" t="s">
        <v>372</v>
      </c>
      <c r="B80" s="307" t="s">
        <v>1055</v>
      </c>
      <c r="C80" s="308" t="s">
        <v>100</v>
      </c>
      <c r="D80" s="255"/>
      <c r="E80" s="255"/>
      <c r="F80" s="255"/>
      <c r="G80" s="548" t="s">
        <v>100</v>
      </c>
      <c r="H80" s="255"/>
      <c r="I80" s="301" t="b">
        <f t="shared" si="32"/>
        <v>0</v>
      </c>
      <c r="J80" s="301" t="str">
        <f t="shared" si="33"/>
        <v/>
      </c>
      <c r="K80" s="301" t="str">
        <f t="shared" si="34"/>
        <v/>
      </c>
      <c r="L80" s="131" t="b">
        <f t="shared" si="7"/>
        <v>0</v>
      </c>
      <c r="M80" s="253" t="s">
        <v>348</v>
      </c>
      <c r="N80" s="253" t="b">
        <v>1</v>
      </c>
      <c r="O80" s="253" t="s">
        <v>357</v>
      </c>
      <c r="P80" s="253" t="b">
        <v>1</v>
      </c>
      <c r="Q80" s="355"/>
      <c r="R80" s="355"/>
      <c r="S80" s="355"/>
      <c r="T80" s="355">
        <v>1.2000000000000002E-2</v>
      </c>
      <c r="U80" s="454">
        <v>0.5</v>
      </c>
      <c r="V80" s="454">
        <v>1</v>
      </c>
      <c r="W80" s="454">
        <v>1.5</v>
      </c>
      <c r="X80" s="454">
        <v>1</v>
      </c>
      <c r="Y80" s="302">
        <f>IFERROR(IF(Inputs!$D$29='Drop-downs'!$K$21,R80,Q80)*Calculations!$D$64,0)/1000</f>
        <v>0</v>
      </c>
      <c r="Z80" s="302">
        <f>IFERROR(S80*Calculations!$D$65,0)</f>
        <v>0</v>
      </c>
      <c r="AA80" s="302">
        <f>IFERROR(T80*Calculations!$D$67,0)</f>
        <v>7200.0000000000009</v>
      </c>
      <c r="AB80" s="303">
        <f>IFERROR(Y80*Calculations!$I$64,0)</f>
        <v>0</v>
      </c>
      <c r="AC80" s="303">
        <f>IFERROR(Z80*Calculations!$I$65,0)</f>
        <v>0</v>
      </c>
      <c r="AD80" s="303">
        <f>IFERROR(AA80*Calculations!$I$67,0)</f>
        <v>27900.000000000004</v>
      </c>
      <c r="AE80" s="306">
        <f t="shared" si="13"/>
        <v>0</v>
      </c>
      <c r="AF80" s="121">
        <f t="shared" si="14"/>
        <v>27900.000000000004</v>
      </c>
      <c r="AG80" s="120">
        <f t="shared" si="15"/>
        <v>27900.000000000004</v>
      </c>
      <c r="AH80" s="303">
        <f>IFERROR(Y80*Calculations!$J$64,0)</f>
        <v>0</v>
      </c>
      <c r="AI80" s="303">
        <f>IFERROR(Z80*Calculations!$J$65,0)</f>
        <v>0</v>
      </c>
      <c r="AJ80" s="303">
        <f>IFERROR(AA80*Calculations!$J$67,0)</f>
        <v>27900.000000000004</v>
      </c>
      <c r="AK80" s="306">
        <f t="shared" si="35"/>
        <v>0</v>
      </c>
      <c r="AL80" s="121">
        <f t="shared" si="9"/>
        <v>27900.000000000004</v>
      </c>
      <c r="AM80" s="206">
        <f t="shared" si="16"/>
        <v>0.75</v>
      </c>
      <c r="AN80" s="206">
        <f t="shared" si="17"/>
        <v>1</v>
      </c>
      <c r="AO80" s="206">
        <f t="shared" si="18"/>
        <v>1.25</v>
      </c>
      <c r="AP80" s="220" t="b">
        <f t="shared" si="36"/>
        <v>0</v>
      </c>
      <c r="AQ80" s="304" t="b">
        <f>IFERROR(AN80&lt;=Inputs!$P$51,FALSE)</f>
        <v>1</v>
      </c>
      <c r="AR80" s="554">
        <f>IF($G80="yes",IFERROR(Y80/Calculations!$C$228*Calculations!$G$228,0),0)</f>
        <v>0</v>
      </c>
      <c r="AS80" s="554">
        <f>IF($G80="yes",IFERROR(Z80/Calculations!$C$232*Calculations!$G$232,0),0)</f>
        <v>0</v>
      </c>
      <c r="AT80" s="554">
        <f t="shared" si="20"/>
        <v>0</v>
      </c>
      <c r="AU80" s="206" t="b">
        <f t="shared" si="51"/>
        <v>0</v>
      </c>
      <c r="AV80" s="349" t="s">
        <v>790</v>
      </c>
    </row>
    <row r="81" spans="1:51" s="253" customFormat="1" hidden="1" x14ac:dyDescent="0.25">
      <c r="A81" s="106" t="s">
        <v>363</v>
      </c>
      <c r="B81" s="299" t="s">
        <v>588</v>
      </c>
      <c r="C81" s="308" t="s">
        <v>100</v>
      </c>
      <c r="D81" s="308" t="s">
        <v>100</v>
      </c>
      <c r="E81" s="308" t="s">
        <v>100</v>
      </c>
      <c r="F81" s="255"/>
      <c r="G81" s="548" t="s">
        <v>100</v>
      </c>
      <c r="H81" s="255"/>
      <c r="I81" s="301" t="b">
        <f t="shared" si="32"/>
        <v>0</v>
      </c>
      <c r="J81" s="301" t="b">
        <f t="shared" si="33"/>
        <v>0</v>
      </c>
      <c r="K81" s="301" t="str">
        <f t="shared" si="34"/>
        <v/>
      </c>
      <c r="L81" s="131" t="b">
        <f t="shared" si="7"/>
        <v>0</v>
      </c>
      <c r="M81" s="253" t="s">
        <v>348</v>
      </c>
      <c r="N81" s="253" t="b">
        <v>1</v>
      </c>
      <c r="O81" s="253" t="s">
        <v>357</v>
      </c>
      <c r="P81" s="253" t="b">
        <v>1</v>
      </c>
      <c r="Q81" s="355">
        <v>0.15</v>
      </c>
      <c r="R81" s="355">
        <v>0.1</v>
      </c>
      <c r="S81" s="355">
        <v>0</v>
      </c>
      <c r="T81" s="355"/>
      <c r="U81" s="454">
        <v>3.75</v>
      </c>
      <c r="V81" s="454">
        <v>5</v>
      </c>
      <c r="W81" s="454">
        <v>6.25</v>
      </c>
      <c r="X81" s="454">
        <v>1</v>
      </c>
      <c r="Y81" s="302">
        <f>IFERROR(IF(Inputs!$D$29='Drop-downs'!$K$21,R81,Q81)*Calculations!$D$64,0)/1000</f>
        <v>29250</v>
      </c>
      <c r="Z81" s="302">
        <f>IFERROR(S81*Calculations!$D$65,0)</f>
        <v>0</v>
      </c>
      <c r="AA81" s="302">
        <f>IFERROR(T81*Calculations!$D$67,0)</f>
        <v>0</v>
      </c>
      <c r="AB81" s="303">
        <f>IFERROR(Y81*Calculations!$I$64,0)</f>
        <v>37200</v>
      </c>
      <c r="AC81" s="303">
        <f>IFERROR(Z81*Calculations!$I$65,0)</f>
        <v>0</v>
      </c>
      <c r="AD81" s="303">
        <f>IFERROR(AA81*Calculations!$I$67,0)</f>
        <v>0</v>
      </c>
      <c r="AE81" s="306">
        <f t="shared" si="13"/>
        <v>0</v>
      </c>
      <c r="AF81" s="121">
        <f t="shared" si="14"/>
        <v>37200</v>
      </c>
      <c r="AG81" s="120">
        <f t="shared" si="15"/>
        <v>186000</v>
      </c>
      <c r="AH81" s="303">
        <f>IFERROR(Y81*Calculations!$J$64,0)</f>
        <v>37200</v>
      </c>
      <c r="AI81" s="303">
        <f>IFERROR(Z81*Calculations!$J$65,0)</f>
        <v>0</v>
      </c>
      <c r="AJ81" s="303">
        <f>IFERROR(AA81*Calculations!$J$67,0)</f>
        <v>0</v>
      </c>
      <c r="AK81" s="306">
        <f t="shared" si="35"/>
        <v>0</v>
      </c>
      <c r="AL81" s="121">
        <f t="shared" si="9"/>
        <v>37200</v>
      </c>
      <c r="AM81" s="206">
        <f t="shared" si="16"/>
        <v>3.75</v>
      </c>
      <c r="AN81" s="206">
        <f t="shared" si="17"/>
        <v>5</v>
      </c>
      <c r="AO81" s="206">
        <f t="shared" si="18"/>
        <v>6.25</v>
      </c>
      <c r="AP81" s="220" t="b">
        <f t="shared" si="36"/>
        <v>0</v>
      </c>
      <c r="AQ81" s="304" t="b">
        <f>IFERROR(AN81&lt;=Inputs!$P$51,FALSE)</f>
        <v>0</v>
      </c>
      <c r="AR81" s="554">
        <f>IF($G81="yes",IFERROR(Y81/Calculations!$C$228*Calculations!$G$228,0),0)</f>
        <v>1507.2525000000001</v>
      </c>
      <c r="AS81" s="554">
        <f>IF($G81="yes",IFERROR(Z81/Calculations!$C$232*Calculations!$G$232,0),0)</f>
        <v>0</v>
      </c>
      <c r="AT81" s="554">
        <f t="shared" si="20"/>
        <v>1507.2525000000001</v>
      </c>
      <c r="AU81" s="206" t="b">
        <f t="shared" si="51"/>
        <v>0</v>
      </c>
      <c r="AV81" s="350" t="s">
        <v>944</v>
      </c>
    </row>
    <row r="82" spans="1:51" s="253" customFormat="1" hidden="1" x14ac:dyDescent="0.25">
      <c r="A82" s="106" t="s">
        <v>363</v>
      </c>
      <c r="B82" s="299" t="s">
        <v>613</v>
      </c>
      <c r="C82" s="255"/>
      <c r="D82" s="308" t="s">
        <v>100</v>
      </c>
      <c r="E82" s="308" t="s">
        <v>100</v>
      </c>
      <c r="F82" s="308"/>
      <c r="G82" s="548" t="s">
        <v>100</v>
      </c>
      <c r="H82" s="255"/>
      <c r="I82" s="301" t="str">
        <f t="shared" si="32"/>
        <v/>
      </c>
      <c r="J82" s="301" t="b">
        <f t="shared" si="33"/>
        <v>0</v>
      </c>
      <c r="K82" s="301" t="str">
        <f t="shared" si="34"/>
        <v/>
      </c>
      <c r="L82" s="131" t="b">
        <f t="shared" si="7"/>
        <v>0</v>
      </c>
      <c r="M82" s="253" t="s">
        <v>348</v>
      </c>
      <c r="N82" s="253" t="b">
        <v>1</v>
      </c>
      <c r="O82" s="253" t="s">
        <v>357</v>
      </c>
      <c r="P82" s="253" t="b">
        <v>1</v>
      </c>
      <c r="Q82" s="355">
        <v>1</v>
      </c>
      <c r="R82" s="355">
        <v>1</v>
      </c>
      <c r="S82" s="355">
        <v>0</v>
      </c>
      <c r="T82" s="355"/>
      <c r="U82" s="454">
        <v>3</v>
      </c>
      <c r="V82" s="454">
        <v>5</v>
      </c>
      <c r="W82" s="454">
        <v>7</v>
      </c>
      <c r="X82" s="454">
        <v>1</v>
      </c>
      <c r="Y82" s="302">
        <f>IFERROR(IF(Inputs!$D$29='Drop-downs'!$K$21,R82,Q82)*Calculations!$D$64,0)/1000</f>
        <v>195000</v>
      </c>
      <c r="Z82" s="302">
        <f>IFERROR(S82*Calculations!$D$65,0)</f>
        <v>0</v>
      </c>
      <c r="AA82" s="302">
        <f>IFERROR(T82*Calculations!$D$67,0)</f>
        <v>0</v>
      </c>
      <c r="AB82" s="303">
        <f>IFERROR(Y82*Calculations!$I$64,0)</f>
        <v>247999.99999999997</v>
      </c>
      <c r="AC82" s="303">
        <f>IFERROR(Z82*Calculations!$I$65,0)</f>
        <v>0</v>
      </c>
      <c r="AD82" s="303">
        <f>IFERROR(AA82*Calculations!$I$67,0)</f>
        <v>0</v>
      </c>
      <c r="AE82" s="306">
        <f t="shared" si="13"/>
        <v>0</v>
      </c>
      <c r="AF82" s="121">
        <f t="shared" si="14"/>
        <v>247999.99999999997</v>
      </c>
      <c r="AG82" s="120">
        <f t="shared" si="15"/>
        <v>1239999.9999999998</v>
      </c>
      <c r="AH82" s="303">
        <f>IFERROR(Y82*Calculations!$J$64,0)</f>
        <v>247999.99999999997</v>
      </c>
      <c r="AI82" s="303">
        <f>IFERROR(Z82*Calculations!$J$65,0)</f>
        <v>0</v>
      </c>
      <c r="AJ82" s="303">
        <f>IFERROR(AA82*Calculations!$J$67,0)</f>
        <v>0</v>
      </c>
      <c r="AK82" s="306">
        <f t="shared" si="35"/>
        <v>0</v>
      </c>
      <c r="AL82" s="121">
        <f t="shared" si="9"/>
        <v>247999.99999999997</v>
      </c>
      <c r="AM82" s="206">
        <f t="shared" si="16"/>
        <v>3.75</v>
      </c>
      <c r="AN82" s="206">
        <f t="shared" si="17"/>
        <v>5</v>
      </c>
      <c r="AO82" s="206">
        <f t="shared" si="18"/>
        <v>6.25</v>
      </c>
      <c r="AP82" s="220" t="b">
        <f t="shared" si="36"/>
        <v>0</v>
      </c>
      <c r="AQ82" s="304" t="b">
        <f>IFERROR(AN82&lt;=Inputs!$P$51,FALSE)</f>
        <v>0</v>
      </c>
      <c r="AR82" s="554">
        <f>IF($G82="yes",IFERROR(Y82/Calculations!$C$228*Calculations!$G$228,0),0)</f>
        <v>10048.35</v>
      </c>
      <c r="AS82" s="554">
        <f>IF($G82="yes",IFERROR(Z82/Calculations!$C$232*Calculations!$G$232,0),0)</f>
        <v>0</v>
      </c>
      <c r="AT82" s="554">
        <f t="shared" si="20"/>
        <v>10048.35</v>
      </c>
      <c r="AU82" s="206" t="b">
        <f t="shared" si="51"/>
        <v>0</v>
      </c>
      <c r="AV82" s="350" t="s">
        <v>945</v>
      </c>
    </row>
    <row r="83" spans="1:51" s="253" customFormat="1" hidden="1" x14ac:dyDescent="0.25">
      <c r="A83" s="106" t="s">
        <v>363</v>
      </c>
      <c r="B83" s="299" t="s">
        <v>610</v>
      </c>
      <c r="C83" s="255"/>
      <c r="D83" s="308" t="s">
        <v>100</v>
      </c>
      <c r="E83" s="308" t="s">
        <v>100</v>
      </c>
      <c r="F83" s="308" t="s">
        <v>100</v>
      </c>
      <c r="G83" s="548" t="s">
        <v>100</v>
      </c>
      <c r="H83" s="255"/>
      <c r="I83" s="301" t="str">
        <f t="shared" si="32"/>
        <v/>
      </c>
      <c r="J83" s="301" t="b">
        <f t="shared" si="33"/>
        <v>0</v>
      </c>
      <c r="K83" s="301" t="b">
        <f t="shared" si="34"/>
        <v>1</v>
      </c>
      <c r="L83" s="131" t="b">
        <f t="shared" si="7"/>
        <v>1</v>
      </c>
      <c r="M83" s="253" t="s">
        <v>348</v>
      </c>
      <c r="N83" s="253" t="b">
        <v>1</v>
      </c>
      <c r="O83" s="253" t="s">
        <v>357</v>
      </c>
      <c r="P83" s="253" t="b">
        <v>1</v>
      </c>
      <c r="Q83" s="355">
        <v>0.3</v>
      </c>
      <c r="R83" s="355">
        <v>0.5</v>
      </c>
      <c r="S83" s="355">
        <v>1</v>
      </c>
      <c r="T83" s="355"/>
      <c r="U83" s="454">
        <v>4</v>
      </c>
      <c r="V83" s="454">
        <v>5</v>
      </c>
      <c r="W83" s="454">
        <v>6</v>
      </c>
      <c r="X83" s="454">
        <v>1</v>
      </c>
      <c r="Y83" s="302">
        <f>IFERROR(IF(Inputs!$D$29='Drop-downs'!$K$21,R83,Q83)*Calculations!$D$64,0)/1000</f>
        <v>58500</v>
      </c>
      <c r="Z83" s="302">
        <f>IFERROR(S83*Calculations!$D$65,0)</f>
        <v>14000000</v>
      </c>
      <c r="AA83" s="302">
        <f>IFERROR(T83*Calculations!$D$67,0)</f>
        <v>0</v>
      </c>
      <c r="AB83" s="303">
        <f>IFERROR(Y83*Calculations!$I$64,0)</f>
        <v>74400</v>
      </c>
      <c r="AC83" s="303">
        <f>IFERROR(Z83*Calculations!$I$65,0)</f>
        <v>2150000</v>
      </c>
      <c r="AD83" s="303">
        <f>IFERROR(AA83*Calculations!$I$67,0)</f>
        <v>0</v>
      </c>
      <c r="AE83" s="306">
        <f t="shared" si="13"/>
        <v>0</v>
      </c>
      <c r="AF83" s="121">
        <f t="shared" si="14"/>
        <v>2224400</v>
      </c>
      <c r="AG83" s="120">
        <f t="shared" si="15"/>
        <v>11122000</v>
      </c>
      <c r="AH83" s="303">
        <f>IFERROR(Y83*Calculations!$J$64,0)</f>
        <v>74400</v>
      </c>
      <c r="AI83" s="303">
        <f>IFERROR(Z83*Calculations!$J$65,0)</f>
        <v>2150000</v>
      </c>
      <c r="AJ83" s="303">
        <f>IFERROR(AA83*Calculations!$J$67,0)</f>
        <v>0</v>
      </c>
      <c r="AK83" s="306">
        <f t="shared" si="35"/>
        <v>0</v>
      </c>
      <c r="AL83" s="121">
        <f t="shared" si="9"/>
        <v>2224400</v>
      </c>
      <c r="AM83" s="206">
        <f t="shared" si="16"/>
        <v>3.75</v>
      </c>
      <c r="AN83" s="206">
        <f t="shared" si="17"/>
        <v>5</v>
      </c>
      <c r="AO83" s="206">
        <f t="shared" si="18"/>
        <v>6.25</v>
      </c>
      <c r="AP83" s="220" t="b">
        <f t="shared" si="36"/>
        <v>0</v>
      </c>
      <c r="AQ83" s="304" t="b">
        <f>IFERROR(AN83&lt;=Inputs!$P$51,FALSE)</f>
        <v>0</v>
      </c>
      <c r="AR83" s="554">
        <f>IF($G83="yes",IFERROR(Y83/Calculations!$C$228*Calculations!$G$228,0),0)</f>
        <v>3014.5050000000001</v>
      </c>
      <c r="AS83" s="554">
        <f>IF($G83="yes",IFERROR(Z83/Calculations!$C$232*Calculations!$G$232,0),0)</f>
        <v>13720</v>
      </c>
      <c r="AT83" s="554">
        <f t="shared" si="20"/>
        <v>16734.505000000001</v>
      </c>
      <c r="AU83" s="206" t="b">
        <f t="shared" si="51"/>
        <v>0</v>
      </c>
      <c r="AV83" s="349" t="s">
        <v>946</v>
      </c>
    </row>
    <row r="84" spans="1:51" s="253" customFormat="1" hidden="1" x14ac:dyDescent="0.25">
      <c r="A84" s="106" t="s">
        <v>363</v>
      </c>
      <c r="B84" s="326" t="s">
        <v>965</v>
      </c>
      <c r="C84" s="255"/>
      <c r="D84" s="533"/>
      <c r="E84" s="533"/>
      <c r="F84" s="308" t="s">
        <v>100</v>
      </c>
      <c r="G84" s="548" t="s">
        <v>100</v>
      </c>
      <c r="H84" s="255"/>
      <c r="I84" s="301" t="str">
        <f t="shared" ref="I84" si="52">IF(C84="Yes",INDEX(Opportunity_Category_Display_Matrix,MATCH($A84,Opportunity_Category,0),MATCH(I$20,Performance_Descriptor_List,0)),"")</f>
        <v/>
      </c>
      <c r="J84" s="301" t="str">
        <f t="shared" ref="J84" si="53">IF(OR(D84="Yes",E84="Yes"),INDEX(Opportunity_Category_Display_Matrix,MATCH($A84,Opportunity_Category,0),MATCH(J$20,Performance_Descriptor_List,0)),"")</f>
        <v/>
      </c>
      <c r="K84" s="301" t="b">
        <f t="shared" ref="K84" si="54">IF(F84="Yes",INDEX(Opportunity_Category_Display_Matrix,MATCH($A84,Opportunity_Category,0),MATCH(K$20,Performance_Descriptor_List,0)),"")</f>
        <v>1</v>
      </c>
      <c r="L84" s="131" t="b">
        <f t="shared" ref="L84" si="55">IFERROR(OR(I84,J84,K84),FALSE)</f>
        <v>1</v>
      </c>
      <c r="M84" s="253" t="s">
        <v>348</v>
      </c>
      <c r="N84" s="253" t="b">
        <v>1</v>
      </c>
      <c r="O84" s="253" t="s">
        <v>357</v>
      </c>
      <c r="P84" s="253" t="b">
        <v>1</v>
      </c>
      <c r="Q84" s="355">
        <v>0</v>
      </c>
      <c r="R84" s="355">
        <v>0</v>
      </c>
      <c r="S84" s="355">
        <v>0.05</v>
      </c>
      <c r="T84" s="355"/>
      <c r="U84" s="454">
        <v>3</v>
      </c>
      <c r="V84" s="454">
        <v>4</v>
      </c>
      <c r="W84" s="454">
        <v>6</v>
      </c>
      <c r="X84" s="454">
        <v>1</v>
      </c>
      <c r="Y84" s="302">
        <f>IFERROR(IF(Inputs!$D$29='Drop-downs'!$K$21,R84,Q84)*Calculations!$D$64,0)/1000</f>
        <v>0</v>
      </c>
      <c r="Z84" s="302">
        <f>IFERROR(S84*Calculations!$D$65,0)</f>
        <v>700000</v>
      </c>
      <c r="AA84" s="302">
        <f>IFERROR(T84*Calculations!$D$67,0)</f>
        <v>0</v>
      </c>
      <c r="AB84" s="303">
        <f>IFERROR(Y84*Calculations!$I$64,0)</f>
        <v>0</v>
      </c>
      <c r="AC84" s="303">
        <f>IFERROR(Z84*Calculations!$I$65,0)</f>
        <v>107500</v>
      </c>
      <c r="AD84" s="303">
        <f>IFERROR(AA84*Calculations!$I$67,0)</f>
        <v>0</v>
      </c>
      <c r="AE84" s="306">
        <f t="shared" ref="AE84" si="56">SUM(AH84:AJ84)*(X84-1)</f>
        <v>0</v>
      </c>
      <c r="AF84" s="121">
        <f t="shared" ref="AF84" si="57">SUM(AB84:AE84)</f>
        <v>107500</v>
      </c>
      <c r="AG84" s="120">
        <f t="shared" ref="AG84" si="58">IFERROR(AF84*V84,AF84*10)</f>
        <v>430000</v>
      </c>
      <c r="AH84" s="303">
        <f>IFERROR(Y84*Calculations!$J$64,0)</f>
        <v>0</v>
      </c>
      <c r="AI84" s="303">
        <f>IFERROR(Z84*Calculations!$J$65,0)</f>
        <v>107500</v>
      </c>
      <c r="AJ84" s="303">
        <f>IFERROR(AA84*Calculations!$J$67,0)</f>
        <v>0</v>
      </c>
      <c r="AK84" s="306">
        <f t="shared" ref="AK84" si="59">SUM(AH84:AJ84)*(X84-1)</f>
        <v>0</v>
      </c>
      <c r="AL84" s="121">
        <f t="shared" ref="AL84" si="60">SUM(AH84:AK84)</f>
        <v>107500</v>
      </c>
      <c r="AM84" s="206">
        <f t="shared" ref="AM84" si="61">IFERROR(AN84*(1+$V$15),AN84)</f>
        <v>3</v>
      </c>
      <c r="AN84" s="206">
        <f t="shared" ref="AN84" si="62">IF(AG84&lt;=0,0,AG84/AL84)</f>
        <v>4</v>
      </c>
      <c r="AO84" s="206">
        <f t="shared" ref="AO84" si="63">IFERROR(AN84*(1+$V$16),AN84)</f>
        <v>5</v>
      </c>
      <c r="AP84" s="220" t="b">
        <f t="shared" ref="AP84" si="64">AL84&lt;=0</f>
        <v>0</v>
      </c>
      <c r="AQ84" s="304" t="b">
        <f>IFERROR(AN84&lt;=Inputs!$P$51,FALSE)</f>
        <v>0</v>
      </c>
      <c r="AR84" s="554">
        <f>IF($G84="yes",IFERROR(Y84/Calculations!$C$228*Calculations!$G$228,0),0)</f>
        <v>0</v>
      </c>
      <c r="AS84" s="554">
        <f>IF($G84="yes",IFERROR(Z84/Calculations!$C$232*Calculations!$G$232,0),0)</f>
        <v>686</v>
      </c>
      <c r="AT84" s="554">
        <f t="shared" si="20"/>
        <v>686</v>
      </c>
      <c r="AU84" s="206" t="b">
        <f t="shared" ref="AU84" si="65">AND(L84,N84,P84,NOT(AP84),AQ84)</f>
        <v>0</v>
      </c>
      <c r="AV84" s="534" t="s">
        <v>966</v>
      </c>
    </row>
    <row r="85" spans="1:51" s="253" customFormat="1" ht="13" hidden="1" x14ac:dyDescent="0.3">
      <c r="A85" s="106" t="s">
        <v>363</v>
      </c>
      <c r="B85" s="450" t="s">
        <v>566</v>
      </c>
      <c r="C85" s="255"/>
      <c r="D85" s="255"/>
      <c r="E85" s="255"/>
      <c r="F85" s="308" t="s">
        <v>100</v>
      </c>
      <c r="G85" s="548" t="s">
        <v>100</v>
      </c>
      <c r="H85" s="255"/>
      <c r="I85" s="301" t="str">
        <f t="shared" si="32"/>
        <v/>
      </c>
      <c r="J85" s="301" t="str">
        <f t="shared" si="33"/>
        <v/>
      </c>
      <c r="K85" s="301" t="b">
        <f t="shared" si="34"/>
        <v>1</v>
      </c>
      <c r="L85" s="131" t="b">
        <f t="shared" si="7"/>
        <v>1</v>
      </c>
      <c r="M85" s="253" t="s">
        <v>348</v>
      </c>
      <c r="N85" s="253" t="b">
        <v>1</v>
      </c>
      <c r="O85" s="253" t="s">
        <v>357</v>
      </c>
      <c r="P85" s="253" t="b">
        <v>1</v>
      </c>
      <c r="Q85" s="355">
        <v>0</v>
      </c>
      <c r="R85" s="355">
        <v>0</v>
      </c>
      <c r="S85" s="355">
        <v>0.2</v>
      </c>
      <c r="T85" s="355"/>
      <c r="U85" s="454">
        <v>3</v>
      </c>
      <c r="V85" s="454">
        <v>4</v>
      </c>
      <c r="W85" s="454">
        <v>5</v>
      </c>
      <c r="X85" s="454">
        <v>1</v>
      </c>
      <c r="Y85" s="302">
        <f>IFERROR(IF(Inputs!$D$29='Drop-downs'!$K$21,R85,Q85)*Calculations!$D$64,0)/1000</f>
        <v>0</v>
      </c>
      <c r="Z85" s="302">
        <f>IFERROR(S85*Calculations!$D$65,0)</f>
        <v>2800000</v>
      </c>
      <c r="AA85" s="302">
        <f>IFERROR(T85*Calculations!$D$67,0)</f>
        <v>0</v>
      </c>
      <c r="AB85" s="303">
        <f>IFERROR(Y85*Calculations!$I$64,0)</f>
        <v>0</v>
      </c>
      <c r="AC85" s="303">
        <f>IFERROR(Z85*Calculations!$I$65,0)</f>
        <v>430000</v>
      </c>
      <c r="AD85" s="303">
        <f>IFERROR(AA85*Calculations!$I$67,0)</f>
        <v>0</v>
      </c>
      <c r="AE85" s="306">
        <f t="shared" si="13"/>
        <v>0</v>
      </c>
      <c r="AF85" s="121">
        <f t="shared" si="14"/>
        <v>430000</v>
      </c>
      <c r="AG85" s="120">
        <f t="shared" si="15"/>
        <v>1720000</v>
      </c>
      <c r="AH85" s="303">
        <f>IFERROR(Y85*Calculations!$J$64,0)</f>
        <v>0</v>
      </c>
      <c r="AI85" s="303">
        <f>IFERROR(Z85*Calculations!$J$65,0)</f>
        <v>430000</v>
      </c>
      <c r="AJ85" s="303">
        <f>IFERROR(AA85*Calculations!$J$67,0)</f>
        <v>0</v>
      </c>
      <c r="AK85" s="306">
        <f t="shared" si="35"/>
        <v>0</v>
      </c>
      <c r="AL85" s="121">
        <f t="shared" si="9"/>
        <v>430000</v>
      </c>
      <c r="AM85" s="206">
        <f t="shared" si="16"/>
        <v>3</v>
      </c>
      <c r="AN85" s="206">
        <f t="shared" si="17"/>
        <v>4</v>
      </c>
      <c r="AO85" s="206">
        <f t="shared" si="18"/>
        <v>5</v>
      </c>
      <c r="AP85" s="220" t="b">
        <f t="shared" si="36"/>
        <v>0</v>
      </c>
      <c r="AQ85" s="304" t="b">
        <f>IFERROR(AN85&lt;=Inputs!$P$51,FALSE)</f>
        <v>0</v>
      </c>
      <c r="AR85" s="554">
        <f>IF($G85="yes",IFERROR(Y85/Calculations!$C$228*Calculations!$G$228,0),0)</f>
        <v>0</v>
      </c>
      <c r="AS85" s="554">
        <f>IF($G85="yes",IFERROR(Z85/Calculations!$C$232*Calculations!$G$232,0),0)</f>
        <v>2744</v>
      </c>
      <c r="AT85" s="554">
        <f t="shared" si="20"/>
        <v>2744</v>
      </c>
      <c r="AU85" s="206" t="b">
        <f>AND(L85,N85,P85,NOT(AP85),AQ85)</f>
        <v>0</v>
      </c>
      <c r="AV85" s="349" t="s">
        <v>949</v>
      </c>
    </row>
    <row r="86" spans="1:51" s="253" customFormat="1" hidden="1" x14ac:dyDescent="0.25">
      <c r="A86" s="106" t="s">
        <v>363</v>
      </c>
      <c r="B86" s="299" t="s">
        <v>611</v>
      </c>
      <c r="C86" s="255"/>
      <c r="D86" s="255"/>
      <c r="E86" s="255"/>
      <c r="F86" s="308" t="s">
        <v>100</v>
      </c>
      <c r="G86" s="548" t="s">
        <v>100</v>
      </c>
      <c r="H86" s="255"/>
      <c r="I86" s="301" t="str">
        <f t="shared" si="32"/>
        <v/>
      </c>
      <c r="J86" s="301" t="str">
        <f t="shared" si="33"/>
        <v/>
      </c>
      <c r="K86" s="301" t="b">
        <f t="shared" si="34"/>
        <v>1</v>
      </c>
      <c r="L86" s="131" t="b">
        <f t="shared" si="7"/>
        <v>1</v>
      </c>
      <c r="M86" s="253" t="s">
        <v>348</v>
      </c>
      <c r="N86" s="253" t="b">
        <v>1</v>
      </c>
      <c r="O86" s="253" t="s">
        <v>357</v>
      </c>
      <c r="P86" s="253" t="b">
        <v>1</v>
      </c>
      <c r="Q86" s="355">
        <v>0</v>
      </c>
      <c r="R86" s="355">
        <v>0</v>
      </c>
      <c r="S86" s="355">
        <v>0.3</v>
      </c>
      <c r="T86" s="355"/>
      <c r="U86" s="454">
        <v>4</v>
      </c>
      <c r="V86" s="454">
        <v>5</v>
      </c>
      <c r="W86" s="454">
        <v>6</v>
      </c>
      <c r="X86" s="454">
        <v>1</v>
      </c>
      <c r="Y86" s="302">
        <f>IFERROR(IF(Inputs!$D$29='Drop-downs'!$K$21,R86,Q86)*Calculations!$D$64,0)/1000</f>
        <v>0</v>
      </c>
      <c r="Z86" s="302">
        <f>IFERROR(S86*Calculations!$D$65,0)</f>
        <v>4200000</v>
      </c>
      <c r="AA86" s="302">
        <f>IFERROR(T86*Calculations!$D$67,0)</f>
        <v>0</v>
      </c>
      <c r="AB86" s="303">
        <f>IFERROR(Y86*Calculations!$I$64,0)</f>
        <v>0</v>
      </c>
      <c r="AC86" s="303">
        <f>IFERROR(Z86*Calculations!$I$65,0)</f>
        <v>645000</v>
      </c>
      <c r="AD86" s="303">
        <f>IFERROR(AA86*Calculations!$I$67,0)</f>
        <v>0</v>
      </c>
      <c r="AE86" s="306">
        <f t="shared" si="13"/>
        <v>0</v>
      </c>
      <c r="AF86" s="121">
        <f t="shared" si="14"/>
        <v>645000</v>
      </c>
      <c r="AG86" s="120">
        <f t="shared" si="15"/>
        <v>3225000</v>
      </c>
      <c r="AH86" s="303">
        <f>IFERROR(Y86*Calculations!$J$64,0)</f>
        <v>0</v>
      </c>
      <c r="AI86" s="303">
        <f>IFERROR(Z86*Calculations!$J$65,0)</f>
        <v>645000</v>
      </c>
      <c r="AJ86" s="303">
        <f>IFERROR(AA86*Calculations!$J$67,0)</f>
        <v>0</v>
      </c>
      <c r="AK86" s="306">
        <f t="shared" si="35"/>
        <v>0</v>
      </c>
      <c r="AL86" s="121">
        <f t="shared" si="9"/>
        <v>645000</v>
      </c>
      <c r="AM86" s="206">
        <f t="shared" si="16"/>
        <v>3.75</v>
      </c>
      <c r="AN86" s="206">
        <f t="shared" si="17"/>
        <v>5</v>
      </c>
      <c r="AO86" s="206">
        <f t="shared" si="18"/>
        <v>6.25</v>
      </c>
      <c r="AP86" s="220" t="b">
        <f t="shared" si="36"/>
        <v>0</v>
      </c>
      <c r="AQ86" s="304" t="b">
        <f>IFERROR(AN86&lt;=Inputs!$P$51,FALSE)</f>
        <v>0</v>
      </c>
      <c r="AR86" s="554">
        <f>IF($G86="yes",IFERROR(Y86/Calculations!$C$228*Calculations!$G$228,0),0)</f>
        <v>0</v>
      </c>
      <c r="AS86" s="554">
        <f>IF($G86="yes",IFERROR(Z86/Calculations!$C$232*Calculations!$G$232,0),0)</f>
        <v>4116</v>
      </c>
      <c r="AT86" s="554">
        <f t="shared" si="20"/>
        <v>4116</v>
      </c>
      <c r="AU86" s="206" t="b">
        <f>AND(L86,N86,P86,NOT(AP86),AQ86)</f>
        <v>0</v>
      </c>
      <c r="AV86" s="349" t="s">
        <v>949</v>
      </c>
    </row>
    <row r="87" spans="1:51" s="253" customFormat="1" ht="13" hidden="1" x14ac:dyDescent="0.3">
      <c r="A87" s="106" t="s">
        <v>362</v>
      </c>
      <c r="B87" s="450" t="s">
        <v>612</v>
      </c>
      <c r="C87" s="255"/>
      <c r="D87" s="308" t="s">
        <v>100</v>
      </c>
      <c r="E87" s="308" t="s">
        <v>100</v>
      </c>
      <c r="F87" s="308" t="s">
        <v>100</v>
      </c>
      <c r="G87" s="548" t="s">
        <v>100</v>
      </c>
      <c r="H87" s="255"/>
      <c r="I87" s="301" t="str">
        <f t="shared" si="32"/>
        <v/>
      </c>
      <c r="J87" s="301" t="b">
        <f t="shared" si="33"/>
        <v>0</v>
      </c>
      <c r="K87" s="301" t="b">
        <f t="shared" si="34"/>
        <v>1</v>
      </c>
      <c r="L87" s="131" t="b">
        <f t="shared" ref="L87" si="66">IFERROR(OR(I87,J87,K87),FALSE)</f>
        <v>1</v>
      </c>
      <c r="M87" s="253" t="s">
        <v>348</v>
      </c>
      <c r="N87" s="253" t="b">
        <v>1</v>
      </c>
      <c r="O87" s="253" t="s">
        <v>357</v>
      </c>
      <c r="P87" s="253" t="b">
        <v>1</v>
      </c>
      <c r="Q87" s="355">
        <v>-0.5</v>
      </c>
      <c r="R87" s="355">
        <v>-0.3</v>
      </c>
      <c r="S87" s="355">
        <v>0.75</v>
      </c>
      <c r="T87" s="355"/>
      <c r="U87" s="454">
        <v>4</v>
      </c>
      <c r="V87" s="454">
        <v>6</v>
      </c>
      <c r="W87" s="454">
        <v>8</v>
      </c>
      <c r="X87" s="454">
        <v>1</v>
      </c>
      <c r="Y87" s="302">
        <f>IFERROR(IF(Inputs!$D$29='Drop-downs'!$K$21,R87,Q87)*Calculations!$D$64,0)/1000</f>
        <v>-97500</v>
      </c>
      <c r="Z87" s="302">
        <f>IFERROR(S87*Calculations!$D$65,0)</f>
        <v>10500000</v>
      </c>
      <c r="AA87" s="302">
        <f>IFERROR(T87*Calculations!$D$67,0)</f>
        <v>0</v>
      </c>
      <c r="AB87" s="303">
        <f>IFERROR(Y87*Calculations!$I$64,0)</f>
        <v>-123999.99999999999</v>
      </c>
      <c r="AC87" s="303">
        <f>IFERROR(Z87*Calculations!$I$65,0)</f>
        <v>1612500</v>
      </c>
      <c r="AD87" s="303">
        <f>IFERROR(AA87*Calculations!$I$67,0)</f>
        <v>0</v>
      </c>
      <c r="AE87" s="306">
        <f t="shared" si="13"/>
        <v>0</v>
      </c>
      <c r="AF87" s="121">
        <f t="shared" si="14"/>
        <v>1488500</v>
      </c>
      <c r="AG87" s="120">
        <f t="shared" si="15"/>
        <v>8931000</v>
      </c>
      <c r="AH87" s="303">
        <f>IFERROR(Y87*Calculations!$J$64,0)</f>
        <v>-123999.99999999999</v>
      </c>
      <c r="AI87" s="303">
        <f>IFERROR(Z87*Calculations!$J$65,0)</f>
        <v>1612500</v>
      </c>
      <c r="AJ87" s="303">
        <f>IFERROR(AA87*Calculations!$J$67,0)</f>
        <v>0</v>
      </c>
      <c r="AK87" s="306">
        <f t="shared" si="35"/>
        <v>0</v>
      </c>
      <c r="AL87" s="121">
        <f t="shared" ref="AL87" si="67">SUM(AH87:AK87)</f>
        <v>1488500</v>
      </c>
      <c r="AM87" s="206">
        <f t="shared" si="16"/>
        <v>4.5</v>
      </c>
      <c r="AN87" s="206">
        <f t="shared" si="17"/>
        <v>6</v>
      </c>
      <c r="AO87" s="206">
        <f t="shared" si="18"/>
        <v>7.5</v>
      </c>
      <c r="AP87" s="220" t="b">
        <f t="shared" si="36"/>
        <v>0</v>
      </c>
      <c r="AQ87" s="304" t="b">
        <f>IFERROR(AN87&lt;=Inputs!$P$51,FALSE)</f>
        <v>0</v>
      </c>
      <c r="AR87" s="554">
        <f>IF($G87="yes",IFERROR(Y87/Calculations!$C$228*Calculations!$G$228,0),0)</f>
        <v>-5024.1750000000002</v>
      </c>
      <c r="AS87" s="554">
        <f>IF($G87="yes",IFERROR(Z87/Calculations!$C$232*Calculations!$G$232,0),0)</f>
        <v>10290</v>
      </c>
      <c r="AT87" s="554">
        <f t="shared" ref="AT87:AT91" si="68">AR87+AS87</f>
        <v>5265.8249999999998</v>
      </c>
      <c r="AU87" s="206" t="b">
        <f t="shared" ref="AU87" si="69">AND(L87,N87,P87,NOT(AP87),AQ87)</f>
        <v>0</v>
      </c>
      <c r="AV87" s="349" t="s">
        <v>950</v>
      </c>
    </row>
    <row r="88" spans="1:51" s="253" customFormat="1" ht="13" hidden="1" x14ac:dyDescent="0.3">
      <c r="A88" s="106" t="s">
        <v>363</v>
      </c>
      <c r="B88" s="450" t="s">
        <v>617</v>
      </c>
      <c r="D88" s="308"/>
      <c r="E88" s="308" t="s">
        <v>100</v>
      </c>
      <c r="F88" s="308"/>
      <c r="G88" s="548" t="s">
        <v>100</v>
      </c>
      <c r="I88" s="301" t="str">
        <f t="shared" ref="I88:I91" si="70">IF(C88="Yes",INDEX(Opportunity_Category_Display_Matrix,MATCH($A88,Opportunity_Category,0),MATCH(I$20,Performance_Descriptor_List,0)),"")</f>
        <v/>
      </c>
      <c r="J88" s="301" t="b">
        <f t="shared" ref="J88:J91" si="71">IF(OR(D88="Yes",E88="Yes"),INDEX(Opportunity_Category_Display_Matrix,MATCH($A88,Opportunity_Category,0),MATCH(J$20,Performance_Descriptor_List,0)),"")</f>
        <v>0</v>
      </c>
      <c r="K88" s="301" t="str">
        <f t="shared" ref="K88:K91" si="72">IF(F88="Yes",INDEX(Opportunity_Category_Display_Matrix,MATCH($A88,Opportunity_Category,0),MATCH(K$20,Performance_Descriptor_List,0)),"")</f>
        <v/>
      </c>
      <c r="L88" s="131" t="b">
        <f t="shared" ref="L88:L91" si="73">IFERROR(OR(I88,J88,K88),FALSE)</f>
        <v>0</v>
      </c>
      <c r="M88" s="253" t="s">
        <v>348</v>
      </c>
      <c r="N88" s="253" t="b">
        <v>1</v>
      </c>
      <c r="O88" s="253" t="s">
        <v>357</v>
      </c>
      <c r="P88" s="253" t="b">
        <v>1</v>
      </c>
      <c r="Q88" s="355">
        <v>0.01</v>
      </c>
      <c r="R88" s="355">
        <v>0.01</v>
      </c>
      <c r="S88" s="355">
        <v>0</v>
      </c>
      <c r="T88" s="355"/>
      <c r="U88" s="454">
        <v>3</v>
      </c>
      <c r="V88" s="454">
        <v>4</v>
      </c>
      <c r="W88" s="454">
        <v>6</v>
      </c>
      <c r="X88" s="454">
        <v>1</v>
      </c>
      <c r="Y88" s="302">
        <f>IFERROR(IF(Inputs!$D$29='Drop-downs'!$K$21,R88,Q88)*Calculations!$D$64,0)/1000</f>
        <v>1950</v>
      </c>
      <c r="Z88" s="302">
        <f>IFERROR(S88*Calculations!$D$65,0)</f>
        <v>0</v>
      </c>
      <c r="AA88" s="302">
        <f>IFERROR(T88*Calculations!$D$67,0)</f>
        <v>0</v>
      </c>
      <c r="AB88" s="303">
        <f>IFERROR(Y88*Calculations!$I$64,0)</f>
        <v>2480</v>
      </c>
      <c r="AC88" s="303">
        <f>IFERROR(Z88*Calculations!$I$65,0)</f>
        <v>0</v>
      </c>
      <c r="AD88" s="303">
        <f>IFERROR(AA88*Calculations!$I$67,0)</f>
        <v>0</v>
      </c>
      <c r="AE88" s="306">
        <f t="shared" si="13"/>
        <v>0</v>
      </c>
      <c r="AF88" s="121">
        <f t="shared" si="14"/>
        <v>2480</v>
      </c>
      <c r="AG88" s="120">
        <f t="shared" si="15"/>
        <v>9920</v>
      </c>
      <c r="AH88" s="303">
        <f>IFERROR(Y88*Calculations!$J$64,0)</f>
        <v>2480</v>
      </c>
      <c r="AI88" s="303">
        <f>IFERROR(Z88*Calculations!$J$65,0)</f>
        <v>0</v>
      </c>
      <c r="AJ88" s="303">
        <f>IFERROR(AA88*Calculations!$J$67,0)</f>
        <v>0</v>
      </c>
      <c r="AK88" s="306">
        <f t="shared" si="35"/>
        <v>0</v>
      </c>
      <c r="AL88" s="121">
        <f t="shared" ref="AL88:AL89" si="74">SUM(AH88:AK88)</f>
        <v>2480</v>
      </c>
      <c r="AM88" s="206">
        <f t="shared" si="16"/>
        <v>3</v>
      </c>
      <c r="AN88" s="206">
        <f t="shared" si="17"/>
        <v>4</v>
      </c>
      <c r="AO88" s="206">
        <f t="shared" si="18"/>
        <v>5</v>
      </c>
      <c r="AP88" s="220" t="b">
        <f t="shared" si="36"/>
        <v>0</v>
      </c>
      <c r="AQ88" s="304" t="b">
        <f>IFERROR(AN88&lt;=Inputs!$P$51,FALSE)</f>
        <v>0</v>
      </c>
      <c r="AR88" s="554">
        <f>IF($G88="yes",IFERROR(Y88/Calculations!$C$228*Calculations!$G$228,0),0)</f>
        <v>100.48350000000001</v>
      </c>
      <c r="AS88" s="554">
        <f>IF($G88="yes",IFERROR(Z88/Calculations!$C$232*Calculations!$G$232,0),0)</f>
        <v>0</v>
      </c>
      <c r="AT88" s="554">
        <f t="shared" si="68"/>
        <v>100.48350000000001</v>
      </c>
      <c r="AU88" s="206" t="b">
        <f t="shared" ref="AU88:AU90" si="75">AND(L88,N88,P88,NOT(AP88),AQ88)</f>
        <v>0</v>
      </c>
      <c r="AV88" s="349" t="s">
        <v>949</v>
      </c>
    </row>
    <row r="89" spans="1:51" s="253" customFormat="1" ht="13" hidden="1" x14ac:dyDescent="0.3">
      <c r="A89" s="106" t="s">
        <v>538</v>
      </c>
      <c r="B89" s="453" t="s">
        <v>618</v>
      </c>
      <c r="C89" s="308" t="s">
        <v>100</v>
      </c>
      <c r="D89" s="308"/>
      <c r="E89" s="308"/>
      <c r="F89" s="308"/>
      <c r="G89" s="548" t="s">
        <v>100</v>
      </c>
      <c r="I89" s="301" t="b">
        <f t="shared" ref="I89" si="76">IF(C89="Yes",INDEX(Opportunity_Category_Display_Matrix,MATCH($A89,Opportunity_Category,0),MATCH(I$20,Performance_Descriptor_List,0)),"")</f>
        <v>1</v>
      </c>
      <c r="J89" s="301" t="str">
        <f t="shared" ref="J89" si="77">IF(OR(D89="Yes",E89="Yes"),INDEX(Opportunity_Category_Display_Matrix,MATCH($A89,Opportunity_Category,0),MATCH(J$20,Performance_Descriptor_List,0)),"")</f>
        <v/>
      </c>
      <c r="K89" s="301" t="str">
        <f t="shared" ref="K89" si="78">IF(F89="Yes",INDEX(Opportunity_Category_Display_Matrix,MATCH($A89,Opportunity_Category,0),MATCH(K$20,Performance_Descriptor_List,0)),"")</f>
        <v/>
      </c>
      <c r="L89" s="131" t="b">
        <f t="shared" ref="L89" si="79">IFERROR(OR(I89,J89,K89),FALSE)</f>
        <v>1</v>
      </c>
      <c r="M89" s="253" t="s">
        <v>714</v>
      </c>
      <c r="N89" s="253" t="b">
        <f>Inputs!$D$83&lt;0.4*Inputs!$D$81</f>
        <v>1</v>
      </c>
      <c r="O89" s="253" t="s">
        <v>357</v>
      </c>
      <c r="P89" s="253" t="b">
        <v>1</v>
      </c>
      <c r="Q89" s="355">
        <v>0</v>
      </c>
      <c r="R89" s="355">
        <v>0</v>
      </c>
      <c r="S89" s="355">
        <v>0</v>
      </c>
      <c r="T89" s="355">
        <v>0.1</v>
      </c>
      <c r="U89" s="454">
        <v>2</v>
      </c>
      <c r="V89" s="454">
        <v>4</v>
      </c>
      <c r="W89" s="454">
        <v>6</v>
      </c>
      <c r="X89" s="454">
        <v>1</v>
      </c>
      <c r="Y89" s="302">
        <f>IFERROR(IF(Inputs!$D$29='Drop-downs'!$K$21,R89,Q89)*Calculations!$D$64,0)/1000</f>
        <v>0</v>
      </c>
      <c r="Z89" s="302">
        <f>IFERROR(S89*Calculations!$D$65,0)</f>
        <v>0</v>
      </c>
      <c r="AA89" s="302">
        <f>IFERROR(T89*Calculations!$D$67,0)</f>
        <v>60000</v>
      </c>
      <c r="AB89" s="303">
        <f>IFERROR(Y89*Calculations!$I$64,0)</f>
        <v>0</v>
      </c>
      <c r="AC89" s="303">
        <f>IFERROR(Z89*Calculations!$I$65,0)</f>
        <v>0</v>
      </c>
      <c r="AD89" s="303">
        <f>IFERROR(AA89*Calculations!$I$67,0)</f>
        <v>232500</v>
      </c>
      <c r="AE89" s="306">
        <f t="shared" si="13"/>
        <v>0</v>
      </c>
      <c r="AF89" s="121">
        <f t="shared" si="14"/>
        <v>232500</v>
      </c>
      <c r="AG89" s="120">
        <f t="shared" si="15"/>
        <v>930000</v>
      </c>
      <c r="AH89" s="303">
        <f>IFERROR(Y89*Calculations!$J$64,0)</f>
        <v>0</v>
      </c>
      <c r="AI89" s="303">
        <f>IFERROR(Z89*Calculations!$J$65,0)</f>
        <v>0</v>
      </c>
      <c r="AJ89" s="303">
        <f>IFERROR(AA89*Calculations!$J$67,0)</f>
        <v>232500</v>
      </c>
      <c r="AK89" s="306">
        <f t="shared" ref="AK89:AK91" si="80">SUM(AH89:AJ89)*(X89-1)</f>
        <v>0</v>
      </c>
      <c r="AL89" s="121">
        <f t="shared" si="74"/>
        <v>232500</v>
      </c>
      <c r="AM89" s="206">
        <f t="shared" si="16"/>
        <v>3</v>
      </c>
      <c r="AN89" s="206">
        <f t="shared" si="17"/>
        <v>4</v>
      </c>
      <c r="AO89" s="206">
        <f t="shared" si="18"/>
        <v>5</v>
      </c>
      <c r="AP89" s="220" t="b">
        <f t="shared" si="36"/>
        <v>0</v>
      </c>
      <c r="AQ89" s="304" t="b">
        <f>IFERROR(AN89&lt;=Inputs!$P$51,FALSE)</f>
        <v>0</v>
      </c>
      <c r="AR89" s="554">
        <f>IF($G89="yes",IFERROR(Y89/Calculations!$C$228*Calculations!$G$228,0),0)</f>
        <v>0</v>
      </c>
      <c r="AS89" s="554">
        <f>IF($G89="yes",IFERROR(Z89/Calculations!$C$232*Calculations!$G$232,0),0)</f>
        <v>0</v>
      </c>
      <c r="AT89" s="554">
        <f t="shared" si="68"/>
        <v>0</v>
      </c>
      <c r="AU89" s="206" t="b">
        <f t="shared" si="75"/>
        <v>0</v>
      </c>
      <c r="AV89" s="350" t="s">
        <v>948</v>
      </c>
    </row>
    <row r="90" spans="1:51" s="253" customFormat="1" ht="26" hidden="1" x14ac:dyDescent="0.3">
      <c r="A90" s="106" t="s">
        <v>361</v>
      </c>
      <c r="B90" s="529" t="s">
        <v>963</v>
      </c>
      <c r="C90" s="530"/>
      <c r="D90" s="530"/>
      <c r="E90" s="308" t="s">
        <v>100</v>
      </c>
      <c r="F90" s="530"/>
      <c r="G90" s="548" t="s">
        <v>100</v>
      </c>
      <c r="I90" s="301" t="str">
        <f t="shared" ref="I90" si="81">IF(C90="Yes",INDEX(Opportunity_Category_Display_Matrix,MATCH($A90,Opportunity_Category,0),MATCH(I$20,Performance_Descriptor_List,0)),"")</f>
        <v/>
      </c>
      <c r="J90" s="301" t="b">
        <f t="shared" ref="J90" si="82">IF(OR(D90="Yes",E90="Yes"),INDEX(Opportunity_Category_Display_Matrix,MATCH($A90,Opportunity_Category,0),MATCH(J$20,Performance_Descriptor_List,0)),"")</f>
        <v>1</v>
      </c>
      <c r="K90" s="301" t="str">
        <f t="shared" ref="K90" si="83">IF(F90="Yes",INDEX(Opportunity_Category_Display_Matrix,MATCH($A90,Opportunity_Category,0),MATCH(K$20,Performance_Descriptor_List,0)),"")</f>
        <v/>
      </c>
      <c r="L90" s="131" t="b">
        <f t="shared" ref="L90" si="84">IFERROR(OR(I90,J90,K90),FALSE)</f>
        <v>1</v>
      </c>
      <c r="N90" s="253" t="b">
        <v>1</v>
      </c>
      <c r="O90" s="253" t="s">
        <v>357</v>
      </c>
      <c r="P90" s="253" t="b">
        <v>1</v>
      </c>
      <c r="Q90" s="531">
        <v>0.12</v>
      </c>
      <c r="R90" s="531">
        <v>0.12</v>
      </c>
      <c r="S90" s="532">
        <v>-0.02</v>
      </c>
      <c r="T90" s="531"/>
      <c r="U90" s="368">
        <v>4</v>
      </c>
      <c r="V90" s="368">
        <v>6</v>
      </c>
      <c r="W90" s="368">
        <v>8</v>
      </c>
      <c r="X90" s="368">
        <v>1</v>
      </c>
      <c r="Y90" s="302">
        <f>IFERROR(IF(Inputs!$D$29='Drop-downs'!$K$21,R90,Q90)*Calculations!$D$64,0)/1000</f>
        <v>23400</v>
      </c>
      <c r="Z90" s="302">
        <f>IFERROR(S90*Calculations!$D$65,0)</f>
        <v>-280000</v>
      </c>
      <c r="AA90" s="302">
        <f>IFERROR(T90*Calculations!$D$67,0)</f>
        <v>0</v>
      </c>
      <c r="AB90" s="303">
        <f>IFERROR(Y90*Calculations!$I$64,0)</f>
        <v>29760</v>
      </c>
      <c r="AC90" s="303">
        <f>IFERROR(Z90*Calculations!$I$65,0)</f>
        <v>-43000</v>
      </c>
      <c r="AD90" s="303">
        <f>IFERROR(AA90*Calculations!$I$67,0)</f>
        <v>0</v>
      </c>
      <c r="AE90" s="306">
        <f t="shared" ref="AE90" si="85">SUM(AH90:AJ90)*(X90-1)</f>
        <v>0</v>
      </c>
      <c r="AF90" s="121">
        <f t="shared" ref="AF90" si="86">SUM(AB90:AE90)</f>
        <v>-13240</v>
      </c>
      <c r="AG90" s="120">
        <f t="shared" ref="AG90" si="87">IFERROR(AF90*V90,AF90*10)</f>
        <v>-79440</v>
      </c>
      <c r="AH90" s="303">
        <f>IFERROR(Y90*Calculations!$J$64,0)</f>
        <v>29760</v>
      </c>
      <c r="AI90" s="303">
        <f>IFERROR(Z90*Calculations!$J$65,0)</f>
        <v>-43000</v>
      </c>
      <c r="AJ90" s="303">
        <f>IFERROR(AA90*Calculations!$J$67,0)</f>
        <v>0</v>
      </c>
      <c r="AK90" s="306">
        <f t="shared" si="80"/>
        <v>0</v>
      </c>
      <c r="AL90" s="121">
        <f t="shared" ref="AL90" si="88">SUM(AH90:AK90)</f>
        <v>-13240</v>
      </c>
      <c r="AM90" s="206">
        <f t="shared" ref="AM90" si="89">IFERROR(AN90*(1+$V$15),AN90)</f>
        <v>0</v>
      </c>
      <c r="AN90" s="206">
        <f t="shared" ref="AN90" si="90">IF(AG90&lt;=0,0,AG90/AL90)</f>
        <v>0</v>
      </c>
      <c r="AO90" s="206">
        <f t="shared" ref="AO90" si="91">IFERROR(AN90*(1+$V$16),AN90)</f>
        <v>0</v>
      </c>
      <c r="AP90" s="220" t="b">
        <f t="shared" ref="AP90" si="92">AL90&lt;=0</f>
        <v>1</v>
      </c>
      <c r="AQ90" s="304" t="b">
        <f>IFERROR(AN90&lt;=Inputs!$P$51,FALSE)</f>
        <v>1</v>
      </c>
      <c r="AR90" s="554">
        <f>IF($G90="yes",IFERROR(Y90/Calculations!$C$228*Calculations!$G$228,0),0)</f>
        <v>1205.8019999999999</v>
      </c>
      <c r="AS90" s="554">
        <f>IF($G90="yes",IFERROR(Z90/Calculations!$C$232*Calculations!$G$232,0),0)</f>
        <v>-274.40000000000003</v>
      </c>
      <c r="AT90" s="554">
        <f t="shared" si="68"/>
        <v>931.40199999999982</v>
      </c>
      <c r="AU90" s="206" t="b">
        <f t="shared" si="75"/>
        <v>0</v>
      </c>
      <c r="AV90" s="351" t="s">
        <v>964</v>
      </c>
    </row>
    <row r="91" spans="1:51" s="253" customFormat="1" ht="13" hidden="1" x14ac:dyDescent="0.3">
      <c r="A91" s="106" t="s">
        <v>361</v>
      </c>
      <c r="B91" s="453" t="s">
        <v>670</v>
      </c>
      <c r="C91" s="308"/>
      <c r="D91" s="308" t="s">
        <v>100</v>
      </c>
      <c r="E91" s="308" t="s">
        <v>100</v>
      </c>
      <c r="F91" s="308"/>
      <c r="G91" s="548" t="s">
        <v>100</v>
      </c>
      <c r="I91" s="301" t="str">
        <f t="shared" si="70"/>
        <v/>
      </c>
      <c r="J91" s="301" t="b">
        <f t="shared" si="71"/>
        <v>1</v>
      </c>
      <c r="K91" s="301" t="str">
        <f t="shared" si="72"/>
        <v/>
      </c>
      <c r="L91" s="131" t="b">
        <f t="shared" si="73"/>
        <v>1</v>
      </c>
      <c r="M91" s="253" t="s">
        <v>676</v>
      </c>
      <c r="N91" s="253" t="b">
        <f>OR(Inputs!$D$29='Drop-downs'!$K$19,Inputs!$D$29='Drop-downs'!$K$20)</f>
        <v>0</v>
      </c>
      <c r="O91" s="253" t="s">
        <v>357</v>
      </c>
      <c r="P91" s="253" t="b">
        <v>1</v>
      </c>
      <c r="Q91" s="355">
        <v>0.1</v>
      </c>
      <c r="R91" s="355"/>
      <c r="S91" s="355"/>
      <c r="T91" s="355"/>
      <c r="U91" s="454">
        <v>3</v>
      </c>
      <c r="V91" s="454">
        <v>4</v>
      </c>
      <c r="W91" s="454">
        <v>6</v>
      </c>
      <c r="X91" s="454">
        <v>1</v>
      </c>
      <c r="Y91" s="302">
        <f>IFERROR(IF(Inputs!$D$29='Drop-downs'!$K$21,R91,Q91)*Calculations!$D$64,0)/1000</f>
        <v>19500</v>
      </c>
      <c r="Z91" s="302">
        <f>IFERROR(S91*Calculations!$D$65,0)</f>
        <v>0</v>
      </c>
      <c r="AA91" s="302">
        <f>IFERROR(T91*Calculations!$D$67,0)</f>
        <v>0</v>
      </c>
      <c r="AB91" s="303">
        <f>IFERROR(Y91*Calculations!$I$64,0)</f>
        <v>24800</v>
      </c>
      <c r="AC91" s="303">
        <f>IFERROR(Z91*Calculations!$I$65,0)</f>
        <v>0</v>
      </c>
      <c r="AD91" s="303">
        <f>IFERROR(AA91*Calculations!$I$67,0)</f>
        <v>0</v>
      </c>
      <c r="AE91" s="306">
        <f t="shared" ref="AE91" si="93">SUM(AH91:AJ91)*(X91-1)</f>
        <v>0</v>
      </c>
      <c r="AF91" s="121">
        <f t="shared" ref="AF91" si="94">SUM(AB91:AE91)</f>
        <v>24800</v>
      </c>
      <c r="AG91" s="120">
        <f t="shared" ref="AG91" si="95">IFERROR(AF91*V91,AF91*10)</f>
        <v>99200</v>
      </c>
      <c r="AH91" s="303">
        <f>IFERROR(Y91*Calculations!$J$64,0)</f>
        <v>24800</v>
      </c>
      <c r="AI91" s="303">
        <f>IFERROR(Z91*Calculations!$J$65,0)</f>
        <v>0</v>
      </c>
      <c r="AJ91" s="303">
        <f>IFERROR(AA91*Calculations!$J$67,0)</f>
        <v>0</v>
      </c>
      <c r="AK91" s="306">
        <f t="shared" si="80"/>
        <v>0</v>
      </c>
      <c r="AL91" s="121">
        <f t="shared" ref="AL91" si="96">SUM(AH91:AK91)</f>
        <v>24800</v>
      </c>
      <c r="AM91" s="206">
        <f t="shared" ref="AM91" si="97">IFERROR(AN91*(1+$V$15),AN91)</f>
        <v>3</v>
      </c>
      <c r="AN91" s="206">
        <f t="shared" ref="AN91" si="98">IF(AG91&lt;=0,0,AG91/AL91)</f>
        <v>4</v>
      </c>
      <c r="AO91" s="206">
        <f t="shared" ref="AO91" si="99">IFERROR(AN91*(1+$V$16),AN91)</f>
        <v>5</v>
      </c>
      <c r="AP91" s="220" t="b">
        <f t="shared" si="36"/>
        <v>0</v>
      </c>
      <c r="AQ91" s="304" t="b">
        <f>IFERROR(AN91&lt;=Inputs!$P$51,FALSE)</f>
        <v>0</v>
      </c>
      <c r="AR91" s="554">
        <f>IF($G91="yes",IFERROR(Y91/Calculations!$C$228*Calculations!$G$228,0),0)</f>
        <v>1004.835</v>
      </c>
      <c r="AS91" s="554">
        <f>IF($G91="yes",IFERROR(Z91/Calculations!$C$232*Calculations!$G$232,0),0)</f>
        <v>0</v>
      </c>
      <c r="AT91" s="554">
        <f t="shared" si="68"/>
        <v>1004.835</v>
      </c>
      <c r="AU91" s="206" t="b">
        <f t="shared" ref="AU91" si="100">AND(L91,N91,P91,NOT(AP91),AQ91)</f>
        <v>0</v>
      </c>
      <c r="AV91" s="217"/>
    </row>
    <row r="92" spans="1:51" s="253" customFormat="1" x14ac:dyDescent="0.25">
      <c r="AR92" s="544"/>
      <c r="AS92" s="544"/>
      <c r="AT92" s="544"/>
    </row>
    <row r="93" spans="1:51" s="253" customFormat="1" x14ac:dyDescent="0.25">
      <c r="A93" s="122"/>
      <c r="B93" s="4"/>
      <c r="C93" s="4"/>
      <c r="D93" s="4"/>
      <c r="E93" s="4"/>
      <c r="F93" s="4"/>
      <c r="G93" s="4"/>
      <c r="H93" s="4"/>
      <c r="I93" s="124"/>
      <c r="J93" s="124"/>
      <c r="K93" s="124"/>
      <c r="L93" s="124"/>
      <c r="M93" s="4"/>
      <c r="N93" s="4"/>
      <c r="O93" s="4"/>
      <c r="P93" s="4"/>
      <c r="Q93" s="203"/>
      <c r="R93" s="203"/>
      <c r="S93" s="203"/>
      <c r="T93" s="203"/>
      <c r="U93" s="203"/>
      <c r="V93" s="203"/>
      <c r="W93" s="203"/>
      <c r="X93" s="203"/>
      <c r="Y93" s="203"/>
      <c r="Z93" s="203"/>
      <c r="AA93" s="203"/>
      <c r="AG93" s="4"/>
      <c r="AH93" s="203"/>
      <c r="AI93" s="203"/>
      <c r="AJ93" s="203"/>
      <c r="AL93" s="203"/>
      <c r="AM93" s="203"/>
      <c r="AN93" s="203"/>
      <c r="AO93" s="203"/>
      <c r="AP93" s="203"/>
      <c r="AQ93" s="203"/>
      <c r="AR93" s="544"/>
      <c r="AS93" s="544"/>
      <c r="AT93" s="544"/>
      <c r="AU93" s="203"/>
      <c r="AW93" s="4"/>
      <c r="AX93" s="4"/>
      <c r="AY93" s="4"/>
    </row>
    <row r="96" spans="1:51" x14ac:dyDescent="0.25">
      <c r="AV96" s="217" t="s">
        <v>953</v>
      </c>
    </row>
    <row r="99" spans="1:48" x14ac:dyDescent="0.25">
      <c r="AV99" s="217" t="s">
        <v>872</v>
      </c>
    </row>
    <row r="100" spans="1:48" x14ac:dyDescent="0.25">
      <c r="A100" s="122" t="s">
        <v>970</v>
      </c>
    </row>
    <row r="102" spans="1:48" x14ac:dyDescent="0.25">
      <c r="A102" s="3" t="s">
        <v>957</v>
      </c>
      <c r="B102" s="3" t="s">
        <v>960</v>
      </c>
    </row>
    <row r="103" spans="1:48" x14ac:dyDescent="0.25">
      <c r="A103" s="3" t="s">
        <v>958</v>
      </c>
      <c r="B103" s="3" t="s">
        <v>961</v>
      </c>
    </row>
    <row r="104" spans="1:48" x14ac:dyDescent="0.25">
      <c r="A104" s="3" t="s">
        <v>959</v>
      </c>
      <c r="B104" s="535" t="s">
        <v>962</v>
      </c>
    </row>
    <row r="107" spans="1:48" x14ac:dyDescent="0.25">
      <c r="B107" s="4" t="s">
        <v>969</v>
      </c>
    </row>
  </sheetData>
  <sheetProtection selectLockedCells="1"/>
  <autoFilter ref="A22:AV91" xr:uid="{00000000-0009-0000-0000-00000A000000}">
    <filterColumn colId="0">
      <filters>
        <filter val="Improve housekeeping"/>
      </filters>
    </filterColumn>
    <filterColumn colId="3">
      <customFilters>
        <customFilter operator="notEqual" val=" "/>
      </customFilters>
    </filterColumn>
  </autoFilter>
  <mergeCells count="14">
    <mergeCell ref="AM20:AO20"/>
    <mergeCell ref="Q20:T20"/>
    <mergeCell ref="AH20:AL20"/>
    <mergeCell ref="X20:X21"/>
    <mergeCell ref="Y20:AA20"/>
    <mergeCell ref="AB20:AF20"/>
    <mergeCell ref="B2:H2"/>
    <mergeCell ref="AG20:AG21"/>
    <mergeCell ref="C19:H19"/>
    <mergeCell ref="M20:N20"/>
    <mergeCell ref="O20:P20"/>
    <mergeCell ref="M19:P19"/>
    <mergeCell ref="I19:L19"/>
    <mergeCell ref="U20:W20"/>
  </mergeCells>
  <conditionalFormatting sqref="I91:L91 AP90:AQ91 AU90:AU91 AP23:AU23 I23:L88 AP24:AQ88 AU24:AU88 AR24:AT91">
    <cfRule type="cellIs" dxfId="15" priority="77" operator="equal">
      <formula>TRUE</formula>
    </cfRule>
  </conditionalFormatting>
  <conditionalFormatting sqref="D81:E84 F76:F79 C76:E76 D73:E75 C65:C72 F62:F64 C62:E62 D59:E61 D42:E47 C23:C41 D87:F88 C80:C81 F82:F86 F48:F55 C56:C58 G23:G91">
    <cfRule type="cellIs" dxfId="14" priority="6" operator="equal">
      <formula>"Yes"</formula>
    </cfRule>
  </conditionalFormatting>
  <conditionalFormatting sqref="C91:F91 E90">
    <cfRule type="cellIs" dxfId="13" priority="5" operator="equal">
      <formula>"Yes"</formula>
    </cfRule>
  </conditionalFormatting>
  <conditionalFormatting sqref="AP89:AQ89 I89:L90 AU89">
    <cfRule type="cellIs" dxfId="12" priority="4" operator="equal">
      <formula>TRUE</formula>
    </cfRule>
  </conditionalFormatting>
  <conditionalFormatting sqref="C89:F89 C90:D90 F90">
    <cfRule type="cellIs" dxfId="11" priority="3" operator="equal">
      <formula>"Yes"</formula>
    </cfRule>
  </conditionalFormatting>
  <dataValidations count="1">
    <dataValidation type="list" allowBlank="1" showInputMessage="1" showErrorMessage="1" sqref="A23:A91" xr:uid="{00000000-0002-0000-0A00-000000000000}">
      <formula1>Opportunity_Category</formula1>
    </dataValidation>
  </dataValidations>
  <hyperlinks>
    <hyperlink ref="AV53" r:id="rId1" xr:uid="{00000000-0004-0000-0A00-000000000000}"/>
    <hyperlink ref="AV87" r:id="rId2" xr:uid="{00000000-0004-0000-0A00-000001000000}"/>
    <hyperlink ref="AV59" r:id="rId3" xr:uid="{00000000-0004-0000-0A00-000003000000}"/>
    <hyperlink ref="AV24" r:id="rId4" xr:uid="{00000000-0004-0000-0A00-000012000000}"/>
    <hyperlink ref="AV29" r:id="rId5" xr:uid="{00000000-0004-0000-0A00-000013000000}"/>
    <hyperlink ref="AV30:AV41" r:id="rId6" display="http://www.ecoefficiency.com.au/Portals/56/factsheets/foodprocess/meat/ecomeat_manual.pdf " xr:uid="{00000000-0004-0000-0A00-000014000000}"/>
    <hyperlink ref="AV56:AV58" r:id="rId7" display="http://www.ecoefficiency.com.au/Portals/56/factsheets/foodprocess/meat/ecomeat_manual.pdf " xr:uid="{00000000-0004-0000-0A00-000015000000}"/>
    <hyperlink ref="AV65:AV72" r:id="rId8" display="http://www.ecoefficiency.com.au/Portals/56/factsheets/foodprocess/meat/ecomeat_manual.pdf " xr:uid="{00000000-0004-0000-0A00-000016000000}"/>
    <hyperlink ref="AV76" r:id="rId9" xr:uid="{00000000-0004-0000-0A00-000017000000}"/>
    <hyperlink ref="AV80" r:id="rId10" xr:uid="{00000000-0004-0000-0A00-000018000000}"/>
    <hyperlink ref="AV25:AV28" r:id="rId11" display="http://www.ecoefficiency.com.au/Portals/56/factsheets/foodprocess/meat/ecomeat_manual.pdf " xr:uid="{00000000-0004-0000-0A00-000019000000}"/>
    <hyperlink ref="AV23" r:id="rId12" xr:uid="{00000000-0004-0000-0A00-00001A000000}"/>
    <hyperlink ref="AV75" r:id="rId13" xr:uid="{00000000-0004-0000-0A00-00001C000000}"/>
    <hyperlink ref="AV74" r:id="rId14" xr:uid="{00000000-0004-0000-0A00-00001D000000}"/>
    <hyperlink ref="AV51" r:id="rId15" xr:uid="{00000000-0004-0000-0A00-000020000000}"/>
    <hyperlink ref="AV89" r:id="rId16" xr:uid="{00000000-0004-0000-0A00-000022000000}"/>
    <hyperlink ref="AZ74" r:id="rId17" display="http://www.ampc.com.au/2016/07/Wastewater-Treatment-with-Anaerobic-Digestion-Anammox" xr:uid="{00000000-0004-0000-0A00-000023000000}"/>
    <hyperlink ref="AZ73" r:id="rId18" display="http://www.ampc.com.au/news/30/104/A-Year-in-Review-" xr:uid="{00000000-0004-0000-0A00-000024000000}"/>
    <hyperlink ref="AZ72" r:id="rId19" display="http://www.ampc.com.au/2012/11/Waste-Water-Management" xr:uid="{00000000-0004-0000-0A00-000025000000}"/>
    <hyperlink ref="AZ71" r:id="rId20" display="http://www.ampc.com.au/2015/07/Efficient-lighting-options-and-review-of-lighting-standards-for-abattoirs" xr:uid="{00000000-0004-0000-0A00-000026000000}"/>
    <hyperlink ref="AZ70" r:id="rId21" display="http://www.ampc.com.au/2011/06/Industry-environmental-sustainabaility-review-2010" xr:uid="{00000000-0004-0000-0A00-000027000000}"/>
    <hyperlink ref="AZ69" r:id="rId22" display="http://www.ampc.com.au/feasibility-study-integrated-aquaculture" xr:uid="{00000000-0004-0000-0A00-000028000000}"/>
    <hyperlink ref="AZ68" r:id="rId23" display="http://www.ampc.com.au/2010/12/Wastewater-Best-Practice-Manual" xr:uid="{00000000-0004-0000-0A00-000029000000}"/>
    <hyperlink ref="AZ67" r:id="rId24" display="http://www.ampc.com.au/2015/02/Cost-benefit-analysis-of-dewatering-abattoir-sludge-using-three-way-decanter" xr:uid="{00000000-0004-0000-0A00-00002A000000}"/>
    <hyperlink ref="AZ66" r:id="rId25" display="http://www.ampc.com.au/2014/10/Australian-Red-Meat-Processor-Opportunities-for-Emissions-Reduction-Fund-Participation" xr:uid="{00000000-0004-0000-0A00-00002B000000}"/>
    <hyperlink ref="AZ65" r:id="rId26" display="http://www.ampc.com.au/news/58/104/The-WHS-Website-for-Meat-Processing-Supervisors" xr:uid="{00000000-0004-0000-0A00-00002C000000}"/>
    <hyperlink ref="AZ63" r:id="rId27" display="http://www.ampc.com.au/sustainabilty/2016-report" xr:uid="{00000000-0004-0000-0A00-00002F000000}"/>
    <hyperlink ref="AZ62" r:id="rId28" display="http://www.ampc.com.au/news/27/104/The-Indonesian-Australian-Partnership-on-Food-Security-Launches-News-Letter" xr:uid="{00000000-0004-0000-0A00-000030000000}"/>
    <hyperlink ref="AZ61" r:id="rId29" display="http://www.ampc.com.au/Novel-microbial-technologies-improved-treatment-industrial-wastewater" xr:uid="{00000000-0004-0000-0A00-000031000000}"/>
    <hyperlink ref="AZ60" r:id="rId30" display="http://www.ampc.com.au/2016/09/Year-78-Meat-Matters-We-All-Have-a-Steak-in-this" xr:uid="{00000000-0004-0000-0A00-000032000000}"/>
    <hyperlink ref="AZ59" r:id="rId31" display="http://www.ampc.com.au/2015/09/Environmental-Performance-Review-Red-Meat-Processing-Sector-2015" xr:uid="{00000000-0004-0000-0A00-000033000000}"/>
    <hyperlink ref="AZ58" r:id="rId32" display="http://www.ampc.com.au/2017/03/Year-78-Meat-Matters-Student-Project-File" xr:uid="{00000000-0004-0000-0A00-000034000000}"/>
    <hyperlink ref="AZ56" r:id="rId33" display="http://www.ampc.com.au/2015/02/Review-of-wastewater-treatment-chemicals-and-organic-chemistry-alternatives-for-abattoir-effluent" xr:uid="{00000000-0004-0000-0A00-000035000000}"/>
    <hyperlink ref="AZ55" r:id="rId34" display="http://www.ampc.com.au/2006/11/Meat-Technology-Information-Sheet-Environmental-Control-in-the-Rendering-Industry" xr:uid="{00000000-0004-0000-0A00-000036000000}"/>
    <hyperlink ref="AZ53" r:id="rId35" display="http://www.ampc.com.au/2008/12/Waterless-Cleaning-of-Meat-Processing-Plants" xr:uid="{00000000-0004-0000-0A00-000037000000}"/>
    <hyperlink ref="AZ52" r:id="rId36" display="http://www.ampc.com.au/2012/07/Waste-Water-Management-Manual" xr:uid="{00000000-0004-0000-0A00-000038000000}"/>
    <hyperlink ref="AZ51" r:id="rId37" display="http://www.ampc.com.au/2016/07/Sanitation-of-Viscera-Tables-using-Steam" xr:uid="{00000000-0004-0000-0A00-000039000000}"/>
    <hyperlink ref="AZ50" r:id="rId38" display="http://www.ampc.com.au/2015/05/Environmental-Performance-Review-Red-Meat-Processing-Sector-2015" xr:uid="{00000000-0004-0000-0A00-00003A000000}"/>
    <hyperlink ref="AZ49" r:id="rId39" display="http://www.ampc.com.au/resources/school-resources/careers-2/careers-graphic-resources" xr:uid="{00000000-0004-0000-0A00-00003B000000}"/>
    <hyperlink ref="AZ48" r:id="rId40" display="http://www.ampc.com.au/resources/school-resources/meat-matters/meat-matters-graphic-resources" xr:uid="{00000000-0004-0000-0A00-00003C000000}"/>
    <hyperlink ref="AZ47" r:id="rId41" display="http://www.ampc.com.au/2011/07/First-Waterless-Cleaning-Workshop-Summary" xr:uid="{00000000-0004-0000-0A00-00003D000000}"/>
    <hyperlink ref="AZ46" r:id="rId42" display="http://www.ampc.com.au/2013/09/NGERS-and-Wastewater-Management" xr:uid="{00000000-0004-0000-0A00-00003E000000}"/>
    <hyperlink ref="AZ45" r:id="rId43" display="http://www.ampc.com.au/2006/12/Innovation-and-energy-management-and-reduction" xr:uid="{00000000-0004-0000-0A00-00003F000000}"/>
    <hyperlink ref="AZ44" r:id="rId44" display="http://www.ampc.com.au/2010/12/Economic-and-technical-potential-for-cogeneration-in-industry" xr:uid="{00000000-0004-0000-0A00-000040000000}"/>
    <hyperlink ref="AZ43" r:id="rId45" display="http://www.ampc.com.au/resources/school-resources/aust-meat-processing/aust-meat-processing-graphic-resources" xr:uid="{00000000-0004-0000-0A00-000041000000}"/>
    <hyperlink ref="AZ42" r:id="rId46" display="http://www.ampc.com.au/2012/06/Water-Reuse-in-the-Meat-Industry-Opportunities-and-Issues" xr:uid="{00000000-0004-0000-0A00-000042000000}"/>
    <hyperlink ref="AZ41" r:id="rId47" display="http://www.ampc.com.au/2014/06/Tripe-Wash-Water-Reuse-in-Beef-Processing" xr:uid="{00000000-0004-0000-0A00-000043000000}"/>
    <hyperlink ref="AZ40" r:id="rId48" display="http://www.ampc.com.au/2012/12/Wingham-Chiller-Cleaning" xr:uid="{00000000-0004-0000-0A00-000044000000}"/>
    <hyperlink ref="AZ39" r:id="rId49" display="http://www.ampc.com.au/2013/08/Improved-Abattoir-Hygienic-Design" xr:uid="{00000000-0004-0000-0A00-000045000000}"/>
    <hyperlink ref="AZ38" r:id="rId50" display="http://www.ampc.com.au/2016/02/Beef-Spinal-Cord-Removal-Stage-2-Process-Risk-and-Benefits" xr:uid="{00000000-0004-0000-0A00-000046000000}"/>
    <hyperlink ref="AZ37" r:id="rId51" display="http://www.ampc.com.au/Water-collection-and-data-analysis" xr:uid="{00000000-0004-0000-0A00-000047000000}"/>
    <hyperlink ref="AZ36" r:id="rId52" display="http://www.ampc.com.au/2013/02/Water-Saving-in-the-Routine-Cleaning-of-Carcase-Chillers" xr:uid="{00000000-0004-0000-0A00-000048000000}"/>
    <hyperlink ref="AZ35" r:id="rId53" display="http://www.ampc.com.au/2015/06/Assessing-the-effectiveness-of-a-carcase-hot-water-decontamination-cabinet-in-small-stock-processing" xr:uid="{00000000-0004-0000-0A00-000049000000}"/>
    <hyperlink ref="AZ34" r:id="rId54" display="http://www.ampc.com.au/economic-analysis-demineralisation" xr:uid="{00000000-0004-0000-0A00-00004A000000}"/>
    <hyperlink ref="AZ33" r:id="rId55" display="http://www.ampc.com.au/2010/07/Heat-Recovery-From-Refrigeration-Plant" xr:uid="{00000000-0004-0000-0A00-00004B000000}"/>
    <hyperlink ref="AZ32" r:id="rId56" display="http://www.ampc.com.au/Optimising-integrated-water-reuse-and-waste-heat-recovery" xr:uid="{00000000-0004-0000-0A00-00004C000000}"/>
    <hyperlink ref="AZ31" r:id="rId57" display="http://www.ampc.com.au/2011/11/AMPC-Water-Efficiency-Projects" xr:uid="{00000000-0004-0000-0A00-00004D000000}"/>
    <hyperlink ref="AZ30" r:id="rId58" display="http://www.ampc.com.au/2013/08/Facilitation-of-Water-Reuse-Projects" xr:uid="{00000000-0004-0000-0A00-00004E000000}"/>
    <hyperlink ref="AZ29" r:id="rId59" display="http://www.ampc.com.au/2013/08/Facilitation-of-Water-Reuse-Projects-2012-13" xr:uid="{00000000-0004-0000-0A00-00004F000000}"/>
    <hyperlink ref="AZ28" r:id="rId60" display="http://www.ampc.com.au/2013/10/Water-saving-in-the-cleaning-of-carcase-chillers" xr:uid="{00000000-0004-0000-0A00-000050000000}"/>
    <hyperlink ref="AZ27" r:id="rId61" display="http://www.ampc.com.au/2014/12/Facilitation-of-the-Water-Energy-Efficiency-and-Food-Safety-Program" xr:uid="{00000000-0004-0000-0A00-000051000000}"/>
    <hyperlink ref="AZ26" r:id="rId62" display="http://www.ampc.com.au/Investigation-of-reuse-of-boning-room-effluent-streams" xr:uid="{00000000-0004-0000-0A00-000052000000}"/>
    <hyperlink ref="AZ25" r:id="rId63" display="http://www.ampc.com.au/2015/03/Optimised-Water-Reduction-Through-Steam-Sanitation-Technology" xr:uid="{00000000-0004-0000-0A00-000053000000}"/>
    <hyperlink ref="AZ24" r:id="rId64" display="http://www.ampc.com.au/2008/06/Review-of-abattoir-water-usage-reduction-recycling-and-reuse" xr:uid="{00000000-0004-0000-0A00-000054000000}"/>
    <hyperlink ref="AV25" r:id="rId65" xr:uid="{00000000-0004-0000-0A00-000057000000}"/>
    <hyperlink ref="AV26" r:id="rId66" xr:uid="{00000000-0004-0000-0A00-000058000000}"/>
    <hyperlink ref="AV27" r:id="rId67" xr:uid="{00000000-0004-0000-0A00-000059000000}"/>
    <hyperlink ref="AV28" r:id="rId68" xr:uid="{00000000-0004-0000-0A00-00005A000000}"/>
    <hyperlink ref="AV30" r:id="rId69" xr:uid="{00000000-0004-0000-0A00-00005B000000}"/>
    <hyperlink ref="AV31" r:id="rId70" xr:uid="{00000000-0004-0000-0A00-00005C000000}"/>
    <hyperlink ref="AV32" r:id="rId71" xr:uid="{00000000-0004-0000-0A00-00005D000000}"/>
    <hyperlink ref="AV33" r:id="rId72" xr:uid="{00000000-0004-0000-0A00-00005E000000}"/>
    <hyperlink ref="AV34" r:id="rId73" xr:uid="{00000000-0004-0000-0A00-00005F000000}"/>
    <hyperlink ref="AV35" r:id="rId74" xr:uid="{00000000-0004-0000-0A00-000060000000}"/>
    <hyperlink ref="AV36" r:id="rId75" xr:uid="{00000000-0004-0000-0A00-000061000000}"/>
    <hyperlink ref="AV37" r:id="rId76" xr:uid="{00000000-0004-0000-0A00-000062000000}"/>
    <hyperlink ref="AV38" r:id="rId77" xr:uid="{00000000-0004-0000-0A00-000063000000}"/>
    <hyperlink ref="AV39" r:id="rId78" xr:uid="{00000000-0004-0000-0A00-000064000000}"/>
    <hyperlink ref="AV40" r:id="rId79" xr:uid="{00000000-0004-0000-0A00-000065000000}"/>
    <hyperlink ref="AV41" r:id="rId80" xr:uid="{00000000-0004-0000-0A00-000066000000}"/>
    <hyperlink ref="AV56" r:id="rId81" xr:uid="{00000000-0004-0000-0A00-000067000000}"/>
    <hyperlink ref="AV58" r:id="rId82" xr:uid="{00000000-0004-0000-0A00-000068000000}"/>
    <hyperlink ref="AV65" r:id="rId83" xr:uid="{00000000-0004-0000-0A00-000069000000}"/>
    <hyperlink ref="AV66" r:id="rId84" xr:uid="{00000000-0004-0000-0A00-00006A000000}"/>
    <hyperlink ref="AV67" r:id="rId85" xr:uid="{00000000-0004-0000-0A00-00006B000000}"/>
    <hyperlink ref="AV68" r:id="rId86" xr:uid="{00000000-0004-0000-0A00-00006C000000}"/>
    <hyperlink ref="AV69" r:id="rId87" xr:uid="{00000000-0004-0000-0A00-00006D000000}"/>
    <hyperlink ref="AV70" r:id="rId88" xr:uid="{00000000-0004-0000-0A00-00006E000000}"/>
    <hyperlink ref="AV71" r:id="rId89" xr:uid="{00000000-0004-0000-0A00-00006F000000}"/>
    <hyperlink ref="AV72" r:id="rId90" xr:uid="{00000000-0004-0000-0A00-000070000000}"/>
    <hyperlink ref="AV78" r:id="rId91" xr:uid="{00000000-0004-0000-0A00-000071000000}"/>
    <hyperlink ref="AV83" r:id="rId92" xr:uid="{00000000-0004-0000-0A00-000072000000}"/>
    <hyperlink ref="AV99" r:id="rId93" xr:uid="{95592B45-50BD-48B9-82F2-378E620F5EB5}"/>
    <hyperlink ref="AV63" r:id="rId94" xr:uid="{DE875FEC-7E7A-4468-8066-36FE4B2D0485}"/>
    <hyperlink ref="AV81" r:id="rId95" xr:uid="{66C32D47-6BF8-44A2-9865-8B9C6ADC47A7}"/>
    <hyperlink ref="AV82" r:id="rId96" xr:uid="{FCAB582C-9F51-40D9-8D9B-941CF78ED41A}"/>
    <hyperlink ref="AX20" r:id="rId97" xr:uid="{D961F0DA-12D0-4D9B-B495-18F4715BDD74}"/>
    <hyperlink ref="AX22" r:id="rId98" xr:uid="{A6DD57B7-4D12-4464-B585-AA9DF68721F5}"/>
    <hyperlink ref="AV88" r:id="rId99" xr:uid="{1116AB2B-5F51-463A-A6A7-BBFB5992290A}"/>
    <hyperlink ref="AV86" r:id="rId100" xr:uid="{541D8C08-A1BF-4933-805B-BF2742E62090}"/>
    <hyperlink ref="AV85" r:id="rId101" xr:uid="{F6455ACE-843D-43BD-98D5-04AC7A7BC54C}"/>
    <hyperlink ref="AV48" r:id="rId102" xr:uid="{ED17D8D4-2596-4B60-A19A-CB407D1849AA}"/>
    <hyperlink ref="AV49" r:id="rId103" xr:uid="{8E1B66E9-A6CA-4E63-8D2B-56B3F3006F1A}"/>
    <hyperlink ref="AV50" r:id="rId104" xr:uid="{A745B52B-3B9D-4057-98BB-F99E2F31FFA8}"/>
    <hyperlink ref="AV55" r:id="rId105" xr:uid="{59351AEE-9BC2-4758-BEAA-2418B5FAA130}"/>
    <hyperlink ref="AV96" r:id="rId106" xr:uid="{C746553E-AFBB-4529-A1C2-66F3F1E94A88}"/>
    <hyperlink ref="AV52" r:id="rId107" xr:uid="{C40C2E99-0A4C-4DA7-9FF3-E5BB69C524F9}"/>
    <hyperlink ref="AV43" r:id="rId108" xr:uid="{A9A6F3BD-2AF0-4307-92B8-2F5716CE919C}"/>
    <hyperlink ref="AV44:AV45" r:id="rId109" display="https://www.sustainability.vic.gov.au/-/media/SV/Publications/Business/Efficient-business-operations/Energy-efficiency-for-business/Energy-efficiency-best-practice-guidelines/SRSB-BPG-Heating-Manual-Mar-2015.pdf?la=en " xr:uid="{DC891FC7-0D95-4847-A900-9AD720BC8C1E}"/>
    <hyperlink ref="AV90" r:id="rId110" xr:uid="{03940F4A-988F-412A-BE80-7686992B594B}"/>
    <hyperlink ref="AV84" r:id="rId111" xr:uid="{07E1D3A7-F16E-46C5-93A5-229134EC7DE7}"/>
    <hyperlink ref="AV54" r:id="rId112" xr:uid="{6879570F-4941-4FF9-84FA-B3BD54F5D05F}"/>
    <hyperlink ref="AV57" r:id="rId113" xr:uid="{20D4BA0B-7F99-4547-925F-6AE9E5E833F4}"/>
    <hyperlink ref="AZ64" r:id="rId114" display="http://www.ampc.com.au/news/31/104/Haverick-Meats-back-on-track-in-time-for-Christmas" xr:uid="{00000000-0004-0000-0A00-00002E000000}"/>
  </hyperlinks>
  <pageMargins left="0.70866141732283472" right="0.70866141732283472" top="0.74803149606299213" bottom="0.74803149606299213" header="0.31496062992125984" footer="0.31496062992125984"/>
  <pageSetup paperSize="9" orientation="portrait" r:id="rId115"/>
  <headerFooter>
    <oddHeader>&amp;R&amp;G</oddHeader>
    <oddFooter xml:space="preserve">&amp;L&amp;G&amp;C&amp;"Arial,Regular"&amp;8&amp;A&amp;R&amp;"Arial,Regular"&amp;7© Energetics Pty Ltd 2016&amp;8         Page &amp;P  </oddFooter>
  </headerFooter>
  <drawing r:id="rId116"/>
  <legacyDrawingHF r:id="rId11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2:AP169"/>
  <sheetViews>
    <sheetView topLeftCell="A19" zoomScale="70" zoomScaleNormal="70" workbookViewId="0">
      <selection activeCell="E234" sqref="E234"/>
    </sheetView>
  </sheetViews>
  <sheetFormatPr defaultRowHeight="12.5" x14ac:dyDescent="0.25"/>
  <cols>
    <col min="1" max="1" width="37.453125" bestFit="1" customWidth="1"/>
    <col min="2" max="2" width="10.7265625" bestFit="1" customWidth="1"/>
    <col min="3" max="3" width="31.7265625" style="114" customWidth="1"/>
    <col min="4" max="4" width="37.453125" bestFit="1" customWidth="1"/>
    <col min="5" max="5" width="10.7265625" style="111" bestFit="1" customWidth="1"/>
    <col min="6" max="6" width="17.54296875" style="111" customWidth="1"/>
    <col min="7" max="7" width="37.453125" style="111" bestFit="1" customWidth="1"/>
    <col min="8" max="8" width="10.7265625" style="111" bestFit="1" customWidth="1"/>
    <col min="9" max="9" width="8.7265625" style="110" customWidth="1"/>
    <col min="10" max="10" width="15.81640625" style="110" customWidth="1"/>
    <col min="11" max="11" width="15.81640625" style="222" customWidth="1"/>
    <col min="12" max="12" width="21.453125" style="222" customWidth="1"/>
    <col min="13" max="13" width="29.81640625" bestFit="1" customWidth="1"/>
  </cols>
  <sheetData>
    <row r="2" spans="1:7" ht="41.25" customHeight="1" thickBot="1" x14ac:dyDescent="0.3">
      <c r="A2" s="739" t="s">
        <v>493</v>
      </c>
      <c r="B2" s="739"/>
      <c r="C2" s="739"/>
      <c r="D2" s="739"/>
      <c r="E2" s="739"/>
      <c r="F2" s="739"/>
      <c r="G2" s="739"/>
    </row>
    <row r="3" spans="1:7" ht="13" thickTop="1" x14ac:dyDescent="0.25"/>
    <row r="4" spans="1:7" x14ac:dyDescent="0.25">
      <c r="A4" t="s">
        <v>517</v>
      </c>
    </row>
    <row r="6" spans="1:7" x14ac:dyDescent="0.25">
      <c r="A6" s="245" t="s">
        <v>494</v>
      </c>
    </row>
    <row r="7" spans="1:7" x14ac:dyDescent="0.25">
      <c r="A7" s="245" t="s">
        <v>495</v>
      </c>
    </row>
    <row r="8" spans="1:7" x14ac:dyDescent="0.25">
      <c r="A8" s="245" t="s">
        <v>496</v>
      </c>
    </row>
    <row r="11" spans="1:7" ht="13" x14ac:dyDescent="0.3">
      <c r="A11" s="177" t="str">
        <f>A8</f>
        <v>3) apply rounding to provide approximate savings figures to the end user so as not to offer false precision</v>
      </c>
    </row>
    <row r="14" spans="1:7" x14ac:dyDescent="0.25">
      <c r="A14" t="s">
        <v>497</v>
      </c>
      <c r="B14">
        <v>2</v>
      </c>
    </row>
    <row r="15" spans="1:7" x14ac:dyDescent="0.25">
      <c r="A15" t="s">
        <v>498</v>
      </c>
      <c r="B15">
        <v>1</v>
      </c>
    </row>
    <row r="16" spans="1:7" x14ac:dyDescent="0.25">
      <c r="A16" t="s">
        <v>499</v>
      </c>
      <c r="B16">
        <v>2</v>
      </c>
    </row>
    <row r="18" spans="1:12" ht="15.5" x14ac:dyDescent="0.35">
      <c r="A18" s="281" t="s">
        <v>320</v>
      </c>
      <c r="B18" s="281" t="s">
        <v>534</v>
      </c>
      <c r="C18" s="282" t="s">
        <v>535</v>
      </c>
      <c r="D18" s="281" t="s">
        <v>532</v>
      </c>
      <c r="E18" s="283" t="s">
        <v>533</v>
      </c>
      <c r="F18" s="283" t="s">
        <v>536</v>
      </c>
      <c r="G18" s="111" t="s">
        <v>1060</v>
      </c>
    </row>
    <row r="19" spans="1:12" ht="14" x14ac:dyDescent="0.3">
      <c r="A19" s="280" t="s">
        <v>84</v>
      </c>
    </row>
    <row r="20" spans="1:12" s="113" customFormat="1" ht="75" x14ac:dyDescent="0.25">
      <c r="A20" s="284" t="str">
        <f ca="1">A45</f>
        <v>Opportunity Description</v>
      </c>
      <c r="B20" s="284" t="str">
        <f ca="1">C45</f>
        <v>Sum of back-calculated actual saving ($ / yr)-Total</v>
      </c>
      <c r="C20" s="285" t="str">
        <f ca="1">G45</f>
        <v>Sum of back-calculated adjusted CAPEX</v>
      </c>
      <c r="D20" s="286" t="str">
        <f ca="1">H45</f>
        <v>Min of adjusted payback (years)-lower</v>
      </c>
      <c r="E20" s="286" t="str">
        <f ca="1">I45</f>
        <v>Max of adjusted payback (years)-upper</v>
      </c>
      <c r="F20" s="286" t="str">
        <f ca="1">B45</f>
        <v>Hyperlink to URL</v>
      </c>
      <c r="G20" s="270"/>
      <c r="H20" s="270"/>
      <c r="I20" s="271"/>
      <c r="J20" s="271"/>
      <c r="K20" s="272"/>
      <c r="L20" s="272"/>
    </row>
    <row r="21" spans="1:12" x14ac:dyDescent="0.25">
      <c r="A21" s="287" t="str">
        <f ca="1">A46</f>
        <v xml:space="preserve">Enhance heat transfer on fire tube boiler with turbulators.     </v>
      </c>
      <c r="B21" s="288">
        <f ca="1">IF(C46=0,0,ROUND(C46,$B$14-(1+INT(LOG10(ABS(C46))))))</f>
        <v>3700</v>
      </c>
      <c r="C21" s="289">
        <f ca="1">IF(G46=0,0,ROUND(G46,$B$14-(1+INT(LOG10(ABS(G46))))))</f>
        <v>3700</v>
      </c>
      <c r="D21" s="290">
        <f ca="1">IF(H46=0,0,ROUND(H46,$B$15-(1+INT(LOG10(ABS(H46))))))</f>
        <v>0.8</v>
      </c>
      <c r="E21" s="290">
        <f ca="1">IF(I46=0,0,ROUND(I46,$B$15-(1+INT(LOG10(ABS(I46))))))</f>
        <v>1</v>
      </c>
      <c r="F21" s="286" t="str">
        <f ca="1">IF(OR(LEN(B46)=1,B46="(blank)"),"",B46)</f>
        <v/>
      </c>
      <c r="G21" s="111">
        <f ca="1">IF(J46=0,0,ROUND(J46,$B$14-(1+INT(LOG10(ABS(J46))))))</f>
        <v>150</v>
      </c>
    </row>
    <row r="22" spans="1:12" x14ac:dyDescent="0.25">
      <c r="A22" s="287" t="str">
        <f ca="1">A47</f>
        <v>Install a heat recovery system on the air compressor oil cooling circuit to produce hot water suitable for process cleaning (temperatures up to 70 degrees C). This opportunity may not be applicable if the plant already has enough hot water or there is insufficient hot water storage.</v>
      </c>
      <c r="B22" s="288">
        <f t="shared" ref="B22:B24" ca="1" si="0">IF(C47=0,0,ROUND(C47,$B$14-(1+INT(LOG10(ABS(C47))))))</f>
        <v>2500</v>
      </c>
      <c r="C22" s="289">
        <f ca="1">IF(G47=0,0,ROUND(G47,$B$14-(1+INT(LOG10(ABS(G47))))))</f>
        <v>7400</v>
      </c>
      <c r="D22" s="290">
        <f t="shared" ref="D22:D24" ca="1" si="1">IF(H47=0,0,ROUND(H47,$B$15-(1+INT(LOG10(ABS(H47))))))</f>
        <v>2</v>
      </c>
      <c r="E22" s="290">
        <f t="shared" ref="E22:E24" ca="1" si="2">IF(I47=0,0,ROUND(I47,$B$15-(1+INT(LOG10(ABS(I47))))))</f>
        <v>4</v>
      </c>
      <c r="F22" s="286" t="str">
        <f t="shared" ref="F22:F24" ca="1" si="3">IF(OR(LEN(B47)=1,B47="(blank)"),"",B47)</f>
        <v/>
      </c>
      <c r="G22" s="111">
        <f t="shared" ref="G22:G24" ca="1" si="4">IF(J47=0,0,ROUND(J47,$B$14-(1+INT(LOG10(ABS(J47))))))</f>
        <v>100</v>
      </c>
    </row>
    <row r="23" spans="1:12" x14ac:dyDescent="0.25">
      <c r="A23" s="287" t="str">
        <f ca="1">A48</f>
        <v>Install additional hot water storage if clean hot water is being sent to drain after heat recovery from the rendering plant.</v>
      </c>
      <c r="B23" s="288">
        <f t="shared" ca="1" si="0"/>
        <v>1200</v>
      </c>
      <c r="C23" s="289">
        <f ca="1">IF(G48=0,0,ROUND(G48,$B$14-(1+INT(LOG10(ABS(G48))))))</f>
        <v>2500</v>
      </c>
      <c r="D23" s="290">
        <f t="shared" ca="1" si="1"/>
        <v>2</v>
      </c>
      <c r="E23" s="290">
        <f t="shared" ca="1" si="2"/>
        <v>3</v>
      </c>
      <c r="F23" s="286" t="str">
        <f t="shared" ca="1" si="3"/>
        <v/>
      </c>
      <c r="G23" s="111">
        <f t="shared" ca="1" si="4"/>
        <v>50</v>
      </c>
    </row>
    <row r="24" spans="1:12" ht="62.5" x14ac:dyDescent="0.25">
      <c r="A24" s="287" t="str">
        <f ca="1">A49</f>
        <v xml:space="preserve">Install a refrigeration heat recovery system to supplement hot water supply. This opportunity applies when additional hot water is required and there is sufficient hot water storage to ensure that hot water is not sent to drain. </v>
      </c>
      <c r="B24" s="288">
        <f t="shared" ca="1" si="0"/>
        <v>7400</v>
      </c>
      <c r="C24" s="289">
        <f ca="1">IF(G49=0,0,ROUND(G49,$B$14-(1+INT(LOG10(ABS(G49))))))</f>
        <v>22000</v>
      </c>
      <c r="D24" s="290">
        <f t="shared" ca="1" si="1"/>
        <v>2</v>
      </c>
      <c r="E24" s="290">
        <f t="shared" ca="1" si="2"/>
        <v>4</v>
      </c>
      <c r="F24" s="286" t="str">
        <f t="shared" ca="1" si="3"/>
        <v xml:space="preserve">https://www.ampc.com.au/2010/07/Heat-Recovery-From-Refrigeration-Plant </v>
      </c>
      <c r="G24" s="111">
        <f t="shared" ca="1" si="4"/>
        <v>300</v>
      </c>
    </row>
    <row r="26" spans="1:12" ht="14" x14ac:dyDescent="0.3">
      <c r="A26" s="280" t="str">
        <f t="shared" ref="A26:A31" si="5">A51</f>
        <v>Electricity</v>
      </c>
    </row>
    <row r="27" spans="1:12" s="113" customFormat="1" ht="75" x14ac:dyDescent="0.25">
      <c r="A27" s="284" t="str">
        <f t="shared" ca="1" si="5"/>
        <v>Opportunity Description</v>
      </c>
      <c r="B27" s="284" t="str">
        <f ca="1">C52</f>
        <v>Sum of back-calculated actual saving ($ / yr)-Total</v>
      </c>
      <c r="C27" s="285" t="str">
        <f ca="1">G52</f>
        <v>Sum of back-calculated adjusted CAPEX</v>
      </c>
      <c r="D27" s="284" t="str">
        <f ca="1">H52</f>
        <v>Min of adjusted payback (years)-lower</v>
      </c>
      <c r="E27" s="284" t="str">
        <f ca="1">I52</f>
        <v>Max of adjusted payback (years)-upper</v>
      </c>
      <c r="F27" s="286" t="str">
        <f ca="1">B52</f>
        <v>Hyperlink to URL</v>
      </c>
      <c r="G27" s="111" t="s">
        <v>1061</v>
      </c>
      <c r="H27" s="270"/>
      <c r="I27" s="271"/>
      <c r="J27" s="271"/>
      <c r="K27" s="272"/>
      <c r="L27" s="272"/>
    </row>
    <row r="28" spans="1:12" x14ac:dyDescent="0.25">
      <c r="A28" s="287">
        <f t="shared" ca="1" si="5"/>
        <v>0</v>
      </c>
      <c r="B28" s="288">
        <f ca="1">IF(C53=0,0,ROUND(C53,$B$14-(1+INT(LOG10(ABS(C53))))))</f>
        <v>0</v>
      </c>
      <c r="C28" s="289">
        <f ca="1">IF(G53=0,0,ROUND(G53,$B$14-(1+INT(LOG10(ABS(G53))))))</f>
        <v>0</v>
      </c>
      <c r="D28" s="290">
        <f t="shared" ref="D28:E31" ca="1" si="6">IF(H53=0,0,ROUND(H53,$B$15-(1+INT(LOG10(ABS(H53))))))</f>
        <v>0</v>
      </c>
      <c r="E28" s="290">
        <f t="shared" ca="1" si="6"/>
        <v>0</v>
      </c>
      <c r="F28" s="286" t="str">
        <f t="shared" ref="F28:F31" ca="1" si="7">IF(OR(LEN(B53)=1,B53="(blank)"),"",B53)</f>
        <v/>
      </c>
      <c r="G28" s="111">
        <f ca="1">IF(K53=0,0,ROUND(K53,$B$14-(1+INT(LOG10(ABS(K53))))))</f>
        <v>0</v>
      </c>
    </row>
    <row r="29" spans="1:12" x14ac:dyDescent="0.25">
      <c r="A29" s="287">
        <f t="shared" ca="1" si="5"/>
        <v>0</v>
      </c>
      <c r="B29" s="288">
        <f t="shared" ref="B29:B31" ca="1" si="8">IF(C54=0,0,ROUND(C54,$B$14-(1+INT(LOG10(ABS(C54))))))</f>
        <v>0</v>
      </c>
      <c r="C29" s="289">
        <f ca="1">IF(G54=0,0,ROUND(G54,$B$14-(1+INT(LOG10(ABS(G54))))))</f>
        <v>0</v>
      </c>
      <c r="D29" s="290">
        <f t="shared" ca="1" si="6"/>
        <v>0</v>
      </c>
      <c r="E29" s="290">
        <f t="shared" ca="1" si="6"/>
        <v>0</v>
      </c>
      <c r="F29" s="286" t="str">
        <f t="shared" ca="1" si="7"/>
        <v/>
      </c>
      <c r="G29" s="111">
        <f t="shared" ref="G29:G31" ca="1" si="9">IF(K54=0,0,ROUND(K54,$B$14-(1+INT(LOG10(ABS(K54))))))</f>
        <v>0</v>
      </c>
    </row>
    <row r="30" spans="1:12" x14ac:dyDescent="0.25">
      <c r="A30" s="287">
        <f t="shared" ca="1" si="5"/>
        <v>0</v>
      </c>
      <c r="B30" s="288">
        <f t="shared" ca="1" si="8"/>
        <v>0</v>
      </c>
      <c r="C30" s="289">
        <f ca="1">IF(G55=0,0,ROUND(G55,$B$14-(1+INT(LOG10(ABS(G55))))))</f>
        <v>0</v>
      </c>
      <c r="D30" s="290">
        <f t="shared" ca="1" si="6"/>
        <v>0</v>
      </c>
      <c r="E30" s="290">
        <f t="shared" ca="1" si="6"/>
        <v>0</v>
      </c>
      <c r="F30" s="286" t="str">
        <f t="shared" ca="1" si="7"/>
        <v/>
      </c>
      <c r="G30" s="111">
        <f t="shared" ca="1" si="9"/>
        <v>0</v>
      </c>
    </row>
    <row r="31" spans="1:12" x14ac:dyDescent="0.25">
      <c r="A31" s="287">
        <f t="shared" ca="1" si="5"/>
        <v>0</v>
      </c>
      <c r="B31" s="288">
        <f t="shared" ca="1" si="8"/>
        <v>0</v>
      </c>
      <c r="C31" s="289">
        <f ca="1">IF(G56=0,0,ROUND(G56,$B$14-(1+INT(LOG10(ABS(G56))))))</f>
        <v>0</v>
      </c>
      <c r="D31" s="290">
        <f t="shared" ca="1" si="6"/>
        <v>0</v>
      </c>
      <c r="E31" s="290">
        <f t="shared" ca="1" si="6"/>
        <v>0</v>
      </c>
      <c r="F31" s="286" t="str">
        <f t="shared" ca="1" si="7"/>
        <v/>
      </c>
      <c r="G31" s="111">
        <f t="shared" ca="1" si="9"/>
        <v>0</v>
      </c>
    </row>
    <row r="33" spans="1:42" ht="14" x14ac:dyDescent="0.3">
      <c r="A33" s="280" t="str">
        <f t="shared" ref="A33:A38" si="10">A58</f>
        <v>Water</v>
      </c>
    </row>
    <row r="34" spans="1:42" s="113" customFormat="1" ht="75" x14ac:dyDescent="0.25">
      <c r="A34" s="284" t="str">
        <f t="shared" ca="1" si="10"/>
        <v>Opportunity Description</v>
      </c>
      <c r="B34" s="284" t="str">
        <f ca="1">C59</f>
        <v>Sum of back-calculated actual saving ($ / yr)-Total</v>
      </c>
      <c r="C34" s="285" t="str">
        <f ca="1">G59</f>
        <v>Sum of back-calculated adjusted CAPEX</v>
      </c>
      <c r="D34" s="285" t="str">
        <f ca="1">H59</f>
        <v>Min of adjusted payback (years)-lower</v>
      </c>
      <c r="E34" s="285" t="str">
        <f ca="1">I59</f>
        <v>Max of adjusted payback (years)-upper</v>
      </c>
      <c r="F34" s="286" t="str">
        <f ca="1">B59</f>
        <v>Hyperlink to URL</v>
      </c>
      <c r="G34" s="270"/>
      <c r="H34" s="270"/>
      <c r="I34" s="271"/>
      <c r="J34" s="271"/>
      <c r="K34" s="272"/>
      <c r="L34" s="272"/>
    </row>
    <row r="35" spans="1:42" ht="87.5" x14ac:dyDescent="0.25">
      <c r="A35" s="287" t="str">
        <f t="shared" ca="1" si="10"/>
        <v>Replace pot-style sterilisers with spray sterilisers.</v>
      </c>
      <c r="B35" s="288">
        <f ca="1">IF(C60=0,0,ROUND(C60,$B$14-(1+INT(LOG10(ABS(C60))))))</f>
        <v>12000</v>
      </c>
      <c r="C35" s="289">
        <f ca="1">IF(G60=0,0,ROUND(G60,$B$14-(1+INT(LOG10(ABS(G60))))))</f>
        <v>5800</v>
      </c>
      <c r="D35" s="290">
        <f t="shared" ref="D35:E38" ca="1" si="11">IF(H60=0,0,ROUND(H60,$B$15-(1+INT(LOG10(ABS(H60))))))</f>
        <v>0.4</v>
      </c>
      <c r="E35" s="290">
        <f t="shared" ca="1" si="11"/>
        <v>0.6</v>
      </c>
      <c r="F35" s="286" t="str">
        <f t="shared" ref="F35:F38" ca="1" si="12">IF(OR(LEN(B60)=1,B60="(blank)"),"",B60)</f>
        <v xml:space="preserve">https://www.ecoefficiencygroup.com.au/wp-content/uploads/2017/11/ecomeat_manual.pdf </v>
      </c>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row>
    <row r="36" spans="1:42" x14ac:dyDescent="0.25">
      <c r="A36" s="287" t="str">
        <f t="shared" ca="1" si="10"/>
        <v>Install energy and water flow meters for major loads and monitor use via a central process control system or web based system. Extend system to provide online alarms and SMS alerts available remotely.</v>
      </c>
      <c r="B36" s="288">
        <f t="shared" ref="B36:B38" ca="1" si="13">IF(C61=0,0,ROUND(C61,$B$14-(1+INT(LOG10(ABS(C61))))))</f>
        <v>94000</v>
      </c>
      <c r="C36" s="289">
        <f ca="1">IF(G61=0,0,ROUND(G61,$B$14-(1+INT(LOG10(ABS(G61))))))</f>
        <v>190000</v>
      </c>
      <c r="D36" s="290">
        <f t="shared" ca="1" si="11"/>
        <v>2</v>
      </c>
      <c r="E36" s="290">
        <f t="shared" ca="1" si="11"/>
        <v>3</v>
      </c>
      <c r="F36" s="286" t="str">
        <f t="shared" ca="1" si="12"/>
        <v/>
      </c>
    </row>
    <row r="37" spans="1:42" ht="87.5" x14ac:dyDescent="0.25">
      <c r="A37" s="287" t="str">
        <f t="shared" ca="1" si="10"/>
        <v>Install storm water recovery and collection systems to reduce water used for washing cattle and potentially some process water uses.</v>
      </c>
      <c r="B37" s="288">
        <f t="shared" ca="1" si="13"/>
        <v>47000</v>
      </c>
      <c r="C37" s="289">
        <f ca="1">IF(G62=0,0,ROUND(G62,$B$14-(1+INT(LOG10(ABS(G62))))))</f>
        <v>93000</v>
      </c>
      <c r="D37" s="290">
        <f t="shared" ca="1" si="11"/>
        <v>2</v>
      </c>
      <c r="E37" s="290">
        <f t="shared" ca="1" si="11"/>
        <v>3</v>
      </c>
      <c r="F37" s="286" t="str">
        <f t="shared" ca="1" si="12"/>
        <v xml:space="preserve">https://www.ecoefficiencygroup.com.au/wp-content/uploads/2017/11/ecomeat_manual.pdf </v>
      </c>
    </row>
    <row r="38" spans="1:42" ht="62.5" x14ac:dyDescent="0.25">
      <c r="A38" s="287" t="str">
        <f t="shared" ca="1" si="10"/>
        <v xml:space="preserve">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v>
      </c>
      <c r="B38" s="288">
        <f t="shared" ca="1" si="13"/>
        <v>70000</v>
      </c>
      <c r="C38" s="289">
        <f ca="1">IF(G63=0,0,ROUND(G63,$B$14-(1+INT(LOG10(ABS(G63))))))</f>
        <v>21000</v>
      </c>
      <c r="D38" s="290">
        <f t="shared" ca="1" si="11"/>
        <v>0.2</v>
      </c>
      <c r="E38" s="290">
        <f t="shared" ca="1" si="11"/>
        <v>0.4</v>
      </c>
      <c r="F38" s="286" t="str">
        <f t="shared" ca="1" si="12"/>
        <v xml:space="preserve">https://www.ampc.com.au/2013/01/Reuse-of-water-in-Tripe-processing </v>
      </c>
    </row>
    <row r="42" spans="1:42" ht="13" x14ac:dyDescent="0.3">
      <c r="A42" s="177" t="str">
        <f>A7</f>
        <v>2) summarise these pivot tables via offest formula to make presentation to the end output sheet easier.</v>
      </c>
    </row>
    <row r="44" spans="1:42" x14ac:dyDescent="0.25">
      <c r="A44" t="s">
        <v>84</v>
      </c>
    </row>
    <row r="45" spans="1:42" ht="75" x14ac:dyDescent="0.25">
      <c r="A45" s="223" t="str">
        <f ca="1">OFFSET($A$70,MATCH('Opportunity Library'!$J$22,'Opp Library - PT'!$A$71:$A$365,0)+3+(ROW(A45)-ROW($A$46)),COLUMN(A45)-COLUMN($A$46))</f>
        <v>Opportunity Description</v>
      </c>
      <c r="B45" s="223" t="str">
        <f ca="1">OFFSET($A$70,MATCH('Opportunity Library'!$J$22,'Opp Library - PT'!$A$71:$A$365,0)+3+(ROW(B45)-ROW($A$46)),COLUMN(B45)-COLUMN($A$46))</f>
        <v>Hyperlink to URL</v>
      </c>
      <c r="C45" s="223" t="str">
        <f ca="1">OFFSET($A$70,MATCH('Opportunity Library'!$J$22,'Opp Library - PT'!$A$71:$A$365,0)+3+(ROW(C45)-ROW($A$46)),COLUMN(C45)-COLUMN($A$46))</f>
        <v>Sum of back-calculated actual saving ($ / yr)-Total</v>
      </c>
      <c r="D45" s="224" t="str">
        <f ca="1">OFFSET($A$70,MATCH('Opportunity Library'!$J$22,'Opp Library - PT'!$A$71:$A$365,0)+3+(ROW(D45)-ROW($A$46)),COLUMN(D45)-COLUMN($A$46))</f>
        <v>Sum of back-calculated actual saving ($ / yr)-thermal</v>
      </c>
      <c r="E45" s="273" t="str">
        <f ca="1">OFFSET($A$70,MATCH('Opportunity Library'!$J$22,'Opp Library - PT'!$A$71:$A$365,0)+3+(ROW(E45)-ROW($A$46)),COLUMN(E45)-COLUMN($A$46))</f>
        <v>Sum of back-calculated actual saving ($ / yr)-elec</v>
      </c>
      <c r="F45" s="224" t="str">
        <f ca="1">OFFSET($A$70,MATCH('Opportunity Library'!$J$22,'Opp Library - PT'!$A$71:$A$365,0)+3+(ROW(F45)-ROW($A$46)),COLUMN(F45)-COLUMN($A$46))</f>
        <v>Sum of back-calculated actual saving ($ / yr)-water</v>
      </c>
      <c r="G45" s="223" t="str">
        <f ca="1">OFFSET($A$70,MATCH('Opportunity Library'!$J$22,'Opp Library - PT'!$A$71:$A$365,0)+3+(ROW(G45)-ROW($A$46)),COLUMN(G45)-COLUMN($A$46))</f>
        <v>Sum of back-calculated adjusted CAPEX</v>
      </c>
      <c r="H45" s="223" t="str">
        <f ca="1">OFFSET($A$70,MATCH('Opportunity Library'!$J$22,'Opp Library - PT'!$A$71:$A$365,0)+3+(ROW(H45)-ROW($A$46)),COLUMN(H45)-COLUMN($A$46))</f>
        <v>Min of adjusted payback (years)-lower</v>
      </c>
      <c r="I45" s="223" t="str">
        <f ca="1">OFFSET($A$70,MATCH('Opportunity Library'!$J$22,'Opp Library - PT'!$A$71:$A$365,0)+3+(ROW(I45)-ROW($A$46)),COLUMN(I45)-COLUMN($A$46))</f>
        <v>Max of adjusted payback (years)-upper</v>
      </c>
      <c r="J45" s="273" t="str">
        <f ca="1">OFFSET($A$70,MATCH('Opportunity Library'!$J$22,'Opp Library - PT'!$A$71:$A$365,0)+3+(ROW(J45)-ROW($A$46)),COLUMN(J45)-COLUMN($A$46))</f>
        <v>Sum of Scope 1 saving</v>
      </c>
      <c r="K45" s="273" t="str">
        <f ca="1">OFFSET($A$70,MATCH('Opportunity Library'!$J$22,'Opp Library - PT'!$A$71:$A$365,0)+3+(ROW(K45)-ROW($A$46)),COLUMN(K45)-COLUMN($A$46))</f>
        <v>Sum of Scope 2 saving</v>
      </c>
      <c r="L45" s="273" t="str">
        <f ca="1">OFFSET($A$70,MATCH('Opportunity Library'!$J$22,'Opp Library - PT'!$A$71:$A$365,0)+3+(ROW(L45)-ROW($A$46)),COLUMN(L45)-COLUMN($A$46))</f>
        <v>Sum of Total emissions saving</v>
      </c>
    </row>
    <row r="46" spans="1:42" ht="25" x14ac:dyDescent="0.25">
      <c r="A46" s="223" t="str">
        <f ca="1">OFFSET($A$70,MATCH('Opportunity Library'!$J$22,'Opp Library - PT'!$A$71:$A$365,0)+3+(ROW(A46)-ROW($A$46)),COLUMN(A46)-COLUMN($A$46))</f>
        <v xml:space="preserve">Enhance heat transfer on fire tube boiler with turbulators.     </v>
      </c>
      <c r="B46" s="223" t="str">
        <f ca="1">OFFSET($A$70,MATCH('Opportunity Library'!$J$22,'Opp Library - PT'!$A$71:$A$365,0)+3+(ROW(B46)-ROW($A$46)),COLUMN(B46)-COLUMN($A$46))</f>
        <v>(blank)</v>
      </c>
      <c r="C46" s="223">
        <f ca="1">OFFSET($A$70,MATCH('Opportunity Library'!$J$22,'Opp Library - PT'!$A$71:$A$365,0)+3+(ROW(C46)-ROW($A$46)),COLUMN(C46)-COLUMN($A$46))</f>
        <v>3720</v>
      </c>
      <c r="D46" s="224">
        <f ca="1">OFFSET($A$70,MATCH('Opportunity Library'!$J$22,'Opp Library - PT'!$A$71:$A$365,0)+3+(ROW(D46)-ROW($A$46)),COLUMN(D46)-COLUMN($A$46))</f>
        <v>3720</v>
      </c>
      <c r="E46" s="277">
        <f ca="1">OFFSET($A$70,MATCH('Opportunity Library'!$J$22,'Opp Library - PT'!$A$71:$A$365,0)+3+(ROW(E46)-ROW($A$46)),COLUMN(E46)-COLUMN($A$46))</f>
        <v>0</v>
      </c>
      <c r="F46" s="224">
        <f ca="1">OFFSET($A$70,MATCH('Opportunity Library'!$J$22,'Opp Library - PT'!$A$71:$A$365,0)+3+(ROW(F46)-ROW($A$46)),COLUMN(F46)-COLUMN($A$46))</f>
        <v>0</v>
      </c>
      <c r="G46" s="223">
        <f ca="1">OFFSET($A$70,MATCH('Opportunity Library'!$J$22,'Opp Library - PT'!$A$71:$A$365,0)+3+(ROW(G46)-ROW($A$46)),COLUMN(G46)-COLUMN($A$46))</f>
        <v>3720</v>
      </c>
      <c r="H46" s="223">
        <f ca="1">OFFSET($A$70,MATCH('Opportunity Library'!$J$22,'Opp Library - PT'!$A$71:$A$365,0)+3+(ROW(H46)-ROW($A$46)),COLUMN(H46)-COLUMN($A$46))</f>
        <v>0.75</v>
      </c>
      <c r="I46" s="225">
        <f ca="1">OFFSET($A$70,MATCH('Opportunity Library'!$J$22,'Opp Library - PT'!$A$71:$A$365,0)+3+(ROW(I46)-ROW($A$46)),COLUMN(I46)-COLUMN($A$46))</f>
        <v>1.25</v>
      </c>
      <c r="J46" s="273">
        <f ca="1">OFFSET($A$70,MATCH('Opportunity Library'!$J$22,'Opp Library - PT'!$A$71:$A$365,0)+3+(ROW(J46)-ROW($A$46)),COLUMN(J46)-COLUMN($A$46))</f>
        <v>150.72524999999999</v>
      </c>
      <c r="K46" s="275">
        <f ca="1">OFFSET($A$70,MATCH('Opportunity Library'!$J$22,'Opp Library - PT'!$A$71:$A$365,0)+3+(ROW(K46)-ROW($A$46)),COLUMN(K46)-COLUMN($A$46))</f>
        <v>0</v>
      </c>
      <c r="L46" s="275">
        <f ca="1">OFFSET($A$70,MATCH('Opportunity Library'!$J$22,'Opp Library - PT'!$A$71:$A$365,0)+3+(ROW(L46)-ROW($A$46)),COLUMN(L46)-COLUMN($A$46))</f>
        <v>150.72524999999999</v>
      </c>
    </row>
    <row r="47" spans="1:42" ht="87.5" x14ac:dyDescent="0.25">
      <c r="A47" s="223" t="str">
        <f ca="1">OFFSET($A$70,MATCH('Opportunity Library'!$J$22,'Opp Library - PT'!$A$71:$A$365,0)+3+(ROW(A47)-ROW($A$46)),COLUMN(A47)-COLUMN($A$46))</f>
        <v>Install a heat recovery system on the air compressor oil cooling circuit to produce hot water suitable for process cleaning (temperatures up to 70 degrees C). This opportunity may not be applicable if the plant already has enough hot water or there is insufficient hot water storage.</v>
      </c>
      <c r="B47" s="223" t="str">
        <f ca="1">OFFSET($A$70,MATCH('Opportunity Library'!$J$22,'Opp Library - PT'!$A$71:$A$365,0)+3+(ROW(B47)-ROW($A$46)),COLUMN(B47)-COLUMN($A$46))</f>
        <v>(blank)</v>
      </c>
      <c r="C47" s="223">
        <f ca="1">OFFSET($A$70,MATCH('Opportunity Library'!$J$22,'Opp Library - PT'!$A$71:$A$365,0)+3+(ROW(C47)-ROW($A$46)),COLUMN(C47)-COLUMN($A$46))</f>
        <v>2480</v>
      </c>
      <c r="D47" s="224">
        <f ca="1">OFFSET($A$70,MATCH('Opportunity Library'!$J$22,'Opp Library - PT'!$A$71:$A$365,0)+3+(ROW(D47)-ROW($A$46)),COLUMN(D47)-COLUMN($A$46))</f>
        <v>2480</v>
      </c>
      <c r="E47" s="277">
        <f ca="1">OFFSET($A$70,MATCH('Opportunity Library'!$J$22,'Opp Library - PT'!$A$71:$A$365,0)+3+(ROW(E47)-ROW($A$46)),COLUMN(E47)-COLUMN($A$46))</f>
        <v>0</v>
      </c>
      <c r="F47" s="224">
        <f ca="1">OFFSET($A$70,MATCH('Opportunity Library'!$J$22,'Opp Library - PT'!$A$71:$A$365,0)+3+(ROW(F47)-ROW($A$46)),COLUMN(F47)-COLUMN($A$46))</f>
        <v>0</v>
      </c>
      <c r="G47" s="223">
        <f ca="1">OFFSET($A$70,MATCH('Opportunity Library'!$J$22,'Opp Library - PT'!$A$71:$A$365,0)+3+(ROW(G47)-ROW($A$46)),COLUMN(G47)-COLUMN($A$46))</f>
        <v>7440</v>
      </c>
      <c r="H47" s="223">
        <f ca="1">OFFSET($A$70,MATCH('Opportunity Library'!$J$22,'Opp Library - PT'!$A$71:$A$365,0)+3+(ROW(H47)-ROW($A$46)),COLUMN(H47)-COLUMN($A$46))</f>
        <v>2.25</v>
      </c>
      <c r="I47" s="225">
        <f ca="1">OFFSET($A$70,MATCH('Opportunity Library'!$J$22,'Opp Library - PT'!$A$71:$A$365,0)+3+(ROW(I47)-ROW($A$46)),COLUMN(I47)-COLUMN($A$46))</f>
        <v>3.75</v>
      </c>
      <c r="J47" s="273">
        <f ca="1">OFFSET($A$70,MATCH('Opportunity Library'!$J$22,'Opp Library - PT'!$A$71:$A$365,0)+3+(ROW(J47)-ROW($A$46)),COLUMN(J47)-COLUMN($A$46))</f>
        <v>100.48350000000001</v>
      </c>
      <c r="K47" s="275">
        <f ca="1">OFFSET($A$70,MATCH('Opportunity Library'!$J$22,'Opp Library - PT'!$A$71:$A$365,0)+3+(ROW(K47)-ROW($A$46)),COLUMN(K47)-COLUMN($A$46))</f>
        <v>0</v>
      </c>
      <c r="L47" s="275">
        <f ca="1">OFFSET($A$70,MATCH('Opportunity Library'!$J$22,'Opp Library - PT'!$A$71:$A$365,0)+3+(ROW(L47)-ROW($A$46)),COLUMN(L47)-COLUMN($A$46))</f>
        <v>100.48350000000001</v>
      </c>
    </row>
    <row r="48" spans="1:42" ht="37.5" x14ac:dyDescent="0.25">
      <c r="A48" s="223" t="str">
        <f ca="1">OFFSET($A$70,MATCH('Opportunity Library'!$J$22,'Opp Library - PT'!$A$71:$A$365,0)+3+(ROW(A48)-ROW($A$46)),COLUMN(A48)-COLUMN($A$46))</f>
        <v>Install additional hot water storage if clean hot water is being sent to drain after heat recovery from the rendering plant.</v>
      </c>
      <c r="B48" s="223" t="str">
        <f ca="1">OFFSET($A$70,MATCH('Opportunity Library'!$J$22,'Opp Library - PT'!$A$71:$A$365,0)+3+(ROW(B48)-ROW($A$46)),COLUMN(B48)-COLUMN($A$46))</f>
        <v>(blank)</v>
      </c>
      <c r="C48" s="223">
        <f ca="1">OFFSET($A$70,MATCH('Opportunity Library'!$J$22,'Opp Library - PT'!$A$71:$A$365,0)+3+(ROW(C48)-ROW($A$46)),COLUMN(C48)-COLUMN($A$46))</f>
        <v>1240</v>
      </c>
      <c r="D48" s="224">
        <f ca="1">OFFSET($A$70,MATCH('Opportunity Library'!$J$22,'Opp Library - PT'!$A$71:$A$365,0)+3+(ROW(D48)-ROW($A$46)),COLUMN(D48)-COLUMN($A$46))</f>
        <v>1240</v>
      </c>
      <c r="E48" s="277">
        <f ca="1">OFFSET($A$70,MATCH('Opportunity Library'!$J$22,'Opp Library - PT'!$A$71:$A$365,0)+3+(ROW(E48)-ROW($A$46)),COLUMN(E48)-COLUMN($A$46))</f>
        <v>0</v>
      </c>
      <c r="F48" s="224">
        <f ca="1">OFFSET($A$70,MATCH('Opportunity Library'!$J$22,'Opp Library - PT'!$A$71:$A$365,0)+3+(ROW(F48)-ROW($A$46)),COLUMN(F48)-COLUMN($A$46))</f>
        <v>0</v>
      </c>
      <c r="G48" s="223">
        <f ca="1">OFFSET($A$70,MATCH('Opportunity Library'!$J$22,'Opp Library - PT'!$A$71:$A$365,0)+3+(ROW(G48)-ROW($A$46)),COLUMN(G48)-COLUMN($A$46))</f>
        <v>2480</v>
      </c>
      <c r="H48" s="223">
        <f ca="1">OFFSET($A$70,MATCH('Opportunity Library'!$J$22,'Opp Library - PT'!$A$71:$A$365,0)+3+(ROW(H48)-ROW($A$46)),COLUMN(H48)-COLUMN($A$46))</f>
        <v>1.5</v>
      </c>
      <c r="I48" s="225">
        <f ca="1">OFFSET($A$70,MATCH('Opportunity Library'!$J$22,'Opp Library - PT'!$A$71:$A$365,0)+3+(ROW(I48)-ROW($A$46)),COLUMN(I48)-COLUMN($A$46))</f>
        <v>2.5</v>
      </c>
      <c r="J48" s="273">
        <f ca="1">OFFSET($A$70,MATCH('Opportunity Library'!$J$22,'Opp Library - PT'!$A$71:$A$365,0)+3+(ROW(J48)-ROW($A$46)),COLUMN(J48)-COLUMN($A$46))</f>
        <v>50.241750000000003</v>
      </c>
      <c r="K48" s="275">
        <f ca="1">OFFSET($A$70,MATCH('Opportunity Library'!$J$22,'Opp Library - PT'!$A$71:$A$365,0)+3+(ROW(K48)-ROW($A$46)),COLUMN(K48)-COLUMN($A$46))</f>
        <v>0</v>
      </c>
      <c r="L48" s="275">
        <f ca="1">OFFSET($A$70,MATCH('Opportunity Library'!$J$22,'Opp Library - PT'!$A$71:$A$365,0)+3+(ROW(L48)-ROW($A$46)),COLUMN(L48)-COLUMN($A$46))</f>
        <v>50.241750000000003</v>
      </c>
    </row>
    <row r="49" spans="1:12" ht="100" x14ac:dyDescent="0.25">
      <c r="A49" s="223" t="str">
        <f ca="1">OFFSET($A$70,MATCH('Opportunity Library'!$J$22,'Opp Library - PT'!$A$71:$A$365,0)+3+(ROW(A49)-ROW($A$46)),COLUMN(A49)-COLUMN($A$46))</f>
        <v xml:space="preserve">Install a refrigeration heat recovery system to supplement hot water supply. This opportunity applies when additional hot water is required and there is sufficient hot water storage to ensure that hot water is not sent to drain. </v>
      </c>
      <c r="B49" s="223" t="str">
        <f ca="1">OFFSET($A$70,MATCH('Opportunity Library'!$J$22,'Opp Library - PT'!$A$71:$A$365,0)+3+(ROW(B49)-ROW($A$46)),COLUMN(B49)-COLUMN($A$46))</f>
        <v xml:space="preserve">https://www.ampc.com.au/2010/07/Heat-Recovery-From-Refrigeration-Plant </v>
      </c>
      <c r="C49" s="223">
        <f ca="1">OFFSET($A$70,MATCH('Opportunity Library'!$J$22,'Opp Library - PT'!$A$71:$A$365,0)+3+(ROW(C49)-ROW($A$46)),COLUMN(C49)-COLUMN($A$46))</f>
        <v>7440</v>
      </c>
      <c r="D49" s="224">
        <f ca="1">OFFSET($A$70,MATCH('Opportunity Library'!$J$22,'Opp Library - PT'!$A$71:$A$365,0)+3+(ROW(D49)-ROW($A$46)),COLUMN(D49)-COLUMN($A$46))</f>
        <v>7440</v>
      </c>
      <c r="E49" s="277">
        <f ca="1">OFFSET($A$70,MATCH('Opportunity Library'!$J$22,'Opp Library - PT'!$A$71:$A$365,0)+3+(ROW(E49)-ROW($A$46)),COLUMN(E49)-COLUMN($A$46))</f>
        <v>0</v>
      </c>
      <c r="F49" s="224">
        <f ca="1">OFFSET($A$70,MATCH('Opportunity Library'!$J$22,'Opp Library - PT'!$A$71:$A$365,0)+3+(ROW(F49)-ROW($A$46)),COLUMN(F49)-COLUMN($A$46))</f>
        <v>0</v>
      </c>
      <c r="G49" s="223">
        <f ca="1">OFFSET($A$70,MATCH('Opportunity Library'!$J$22,'Opp Library - PT'!$A$71:$A$365,0)+3+(ROW(G49)-ROW($A$46)),COLUMN(G49)-COLUMN($A$46))</f>
        <v>22320</v>
      </c>
      <c r="H49" s="223">
        <f ca="1">OFFSET($A$70,MATCH('Opportunity Library'!$J$22,'Opp Library - PT'!$A$71:$A$365,0)+3+(ROW(H49)-ROW($A$46)),COLUMN(H49)-COLUMN($A$46))</f>
        <v>2.25</v>
      </c>
      <c r="I49" s="225">
        <f ca="1">OFFSET($A$70,MATCH('Opportunity Library'!$J$22,'Opp Library - PT'!$A$71:$A$365,0)+3+(ROW(I49)-ROW($A$46)),COLUMN(I49)-COLUMN($A$46))</f>
        <v>3.75</v>
      </c>
      <c r="J49" s="273">
        <f ca="1">OFFSET($A$70,MATCH('Opportunity Library'!$J$22,'Opp Library - PT'!$A$71:$A$365,0)+3+(ROW(J49)-ROW($A$46)),COLUMN(J49)-COLUMN($A$46))</f>
        <v>301.45049999999998</v>
      </c>
      <c r="K49" s="275">
        <f ca="1">OFFSET($A$70,MATCH('Opportunity Library'!$J$22,'Opp Library - PT'!$A$71:$A$365,0)+3+(ROW(K49)-ROW($A$46)),COLUMN(K49)-COLUMN($A$46))</f>
        <v>0</v>
      </c>
      <c r="L49" s="275">
        <f ca="1">OFFSET($A$70,MATCH('Opportunity Library'!$J$22,'Opp Library - PT'!$A$71:$A$365,0)+3+(ROW(L49)-ROW($A$46)),COLUMN(L49)-COLUMN($A$46))</f>
        <v>301.45049999999998</v>
      </c>
    </row>
    <row r="50" spans="1:12" x14ac:dyDescent="0.25">
      <c r="A50" s="223"/>
      <c r="B50" s="223"/>
      <c r="C50" s="274"/>
      <c r="D50" s="224"/>
      <c r="E50" s="278"/>
      <c r="F50" s="227"/>
      <c r="G50" s="226"/>
      <c r="H50" s="226"/>
      <c r="I50" s="225"/>
      <c r="J50" s="277"/>
      <c r="K50" s="276"/>
      <c r="L50" s="276"/>
    </row>
    <row r="51" spans="1:12" x14ac:dyDescent="0.25">
      <c r="A51" s="223" t="s">
        <v>72</v>
      </c>
      <c r="B51" s="223"/>
      <c r="C51" s="274"/>
      <c r="D51" s="224"/>
      <c r="E51" s="278"/>
      <c r="F51" s="227"/>
      <c r="G51" s="226"/>
      <c r="H51" s="226"/>
      <c r="I51" s="225"/>
      <c r="J51" s="277"/>
      <c r="K51" s="276"/>
      <c r="L51" s="276"/>
    </row>
    <row r="52" spans="1:12" ht="75" x14ac:dyDescent="0.25">
      <c r="A52" s="223" t="str">
        <f ca="1">OFFSET($A$70,MATCH('Opportunity Library'!$K$22,'Opp Library - PT'!$A$71:$A$365,0)+3+(ROW(A45)-ROW($A$46)),COLUMN(A45)-COLUMN($A$46))</f>
        <v>Opportunity Description</v>
      </c>
      <c r="B52" s="223" t="str">
        <f ca="1">OFFSET($A$70,MATCH('Opportunity Library'!$K$22,'Opp Library - PT'!$A$71:$A$365,0)+3+(ROW(B45)-ROW($A$46)),COLUMN(B45)-COLUMN($A$46))</f>
        <v>Hyperlink to URL</v>
      </c>
      <c r="C52" s="223" t="str">
        <f ca="1">OFFSET($A$70,MATCH('Opportunity Library'!$K$22,'Opp Library - PT'!$A$71:$A$365,0)+3+(ROW(C45)-ROW($A$46)),COLUMN(C45)-COLUMN($A$46))</f>
        <v>Sum of back-calculated actual saving ($ / yr)-Total</v>
      </c>
      <c r="D52" s="224" t="str">
        <f ca="1">OFFSET($A$70,MATCH('Opportunity Library'!$K$22,'Opp Library - PT'!$A$71:$A$365,0)+3+(ROW(D45)-ROW($A$46)),COLUMN(D45)-COLUMN($A$46))</f>
        <v>Sum of back-calculated actual saving ($ / yr)-thermal</v>
      </c>
      <c r="E52" s="273" t="str">
        <f ca="1">OFFSET($A$70,MATCH('Opportunity Library'!$K$22,'Opp Library - PT'!$A$71:$A$365,0)+3+(ROW(E45)-ROW($A$46)),COLUMN(E45)-COLUMN($A$46))</f>
        <v>Sum of back-calculated actual saving ($ / yr)-elec</v>
      </c>
      <c r="F52" s="224" t="str">
        <f ca="1">OFFSET($A$70,MATCH('Opportunity Library'!$K$22,'Opp Library - PT'!$A$71:$A$365,0)+3+(ROW(F45)-ROW($A$46)),COLUMN(F45)-COLUMN($A$46))</f>
        <v>Sum of back-calculated actual saving ($ / yr)-water</v>
      </c>
      <c r="G52" s="223" t="str">
        <f ca="1">OFFSET($A$70,MATCH('Opportunity Library'!$K$22,'Opp Library - PT'!$A$71:$A$365,0)+3+(ROW(G45)-ROW($A$46)),COLUMN(G45)-COLUMN($A$46))</f>
        <v>Sum of back-calculated adjusted CAPEX</v>
      </c>
      <c r="H52" s="223" t="str">
        <f ca="1">OFFSET($A$70,MATCH('Opportunity Library'!$K$22,'Opp Library - PT'!$A$71:$A$365,0)+3+(ROW(H45)-ROW($A$46)),COLUMN(H45)-COLUMN($A$46))</f>
        <v>Min of adjusted payback (years)-lower</v>
      </c>
      <c r="I52" s="223" t="str">
        <f ca="1">OFFSET($A$70,MATCH('Opportunity Library'!$K$22,'Opp Library - PT'!$A$71:$A$365,0)+3+(ROW(I45)-ROW($A$46)),COLUMN(I45)-COLUMN($A$46))</f>
        <v>Max of adjusted payback (years)-upper</v>
      </c>
      <c r="J52" s="273" t="str">
        <f ca="1">OFFSET($A$70,MATCH('Opportunity Library'!$K$22,'Opp Library - PT'!$A$71:$A$365,0)+3+(ROW(J45)-ROW($A$46)),COLUMN(J45)-COLUMN($A$46))</f>
        <v>Sum of Scope 1 saving</v>
      </c>
      <c r="K52" s="273" t="str">
        <f ca="1">OFFSET($A$70,MATCH('Opportunity Library'!$K$22,'Opp Library - PT'!$A$71:$A$365,0)+3+(ROW(K45)-ROW($A$46)),COLUMN(K45)-COLUMN($A$46))</f>
        <v>Sum of Scope 2 saving</v>
      </c>
      <c r="L52" s="273" t="str">
        <f ca="1">OFFSET($A$70,MATCH('Opportunity Library'!$K$22,'Opp Library - PT'!$A$71:$A$365,0)+3+(ROW(L45)-ROW($A$46)),COLUMN(L45)-COLUMN($A$46))</f>
        <v>Sum of Total emissions saving</v>
      </c>
    </row>
    <row r="53" spans="1:12" x14ac:dyDescent="0.25">
      <c r="A53" s="223">
        <f ca="1">OFFSET($A$70,MATCH('Opportunity Library'!$K$22,'Opp Library - PT'!$A$71:$A$365,0)+3+(ROW(A46)-ROW($A$46)),COLUMN(A46)-COLUMN($A$46))</f>
        <v>0</v>
      </c>
      <c r="B53" s="223">
        <f ca="1">OFFSET($A$70,MATCH('Opportunity Library'!$K$22,'Opp Library - PT'!$A$71:$A$365,0)+3+(ROW(B46)-ROW($A$46)),COLUMN(B46)-COLUMN($A$46))</f>
        <v>0</v>
      </c>
      <c r="C53" s="223">
        <f ca="1">OFFSET($A$70,MATCH('Opportunity Library'!$K$22,'Opp Library - PT'!$A$71:$A$365,0)+3+(ROW(C46)-ROW($A$46)),COLUMN(C46)-COLUMN($A$46))</f>
        <v>0</v>
      </c>
      <c r="D53" s="224">
        <f ca="1">OFFSET($A$70,MATCH('Opportunity Library'!$K$22,'Opp Library - PT'!$A$71:$A$365,0)+3+(ROW(D46)-ROW($A$46)),COLUMN(D46)-COLUMN($A$46))</f>
        <v>0</v>
      </c>
      <c r="E53" s="277">
        <f ca="1">OFFSET($A$70,MATCH('Opportunity Library'!$K$22,'Opp Library - PT'!$A$71:$A$365,0)+3+(ROW(E46)-ROW($A$46)),COLUMN(E46)-COLUMN($A$46))</f>
        <v>0</v>
      </c>
      <c r="F53" s="224">
        <f ca="1">OFFSET($A$70,MATCH('Opportunity Library'!$K$22,'Opp Library - PT'!$A$71:$A$365,0)+3+(ROW(F46)-ROW($A$46)),COLUMN(F46)-COLUMN($A$46))</f>
        <v>0</v>
      </c>
      <c r="G53" s="223">
        <f ca="1">OFFSET($A$70,MATCH('Opportunity Library'!$K$22,'Opp Library - PT'!$A$71:$A$365,0)+3+(ROW(G46)-ROW($A$46)),COLUMN(G46)-COLUMN($A$46))</f>
        <v>0</v>
      </c>
      <c r="H53" s="223">
        <f ca="1">OFFSET($A$70,MATCH('Opportunity Library'!$K$22,'Opp Library - PT'!$A$71:$A$365,0)+3+(ROW(H46)-ROW($A$46)),COLUMN(H46)-COLUMN($A$46))</f>
        <v>0</v>
      </c>
      <c r="I53" s="225">
        <f ca="1">OFFSET($A$70,MATCH('Opportunity Library'!$K$22,'Opp Library - PT'!$A$71:$A$365,0)+3+(ROW(I46)-ROW($A$46)),COLUMN(I46)-COLUMN($A$46))</f>
        <v>0</v>
      </c>
      <c r="J53" s="273">
        <f ca="1">OFFSET($A$70,MATCH('Opportunity Library'!$K$22,'Opp Library - PT'!$A$71:$A$365,0)+3+(ROW(J46)-ROW($A$46)),COLUMN(J46)-COLUMN($A$46))</f>
        <v>0</v>
      </c>
      <c r="K53" s="275">
        <f ca="1">OFFSET($A$70,MATCH('Opportunity Library'!$K$22,'Opp Library - PT'!$A$71:$A$365,0)+3+(ROW(K46)-ROW($A$46)),COLUMN(K46)-COLUMN($A$46))</f>
        <v>0</v>
      </c>
      <c r="L53" s="275">
        <f ca="1">OFFSET($A$70,MATCH('Opportunity Library'!$K$22,'Opp Library - PT'!$A$71:$A$365,0)+3+(ROW(L46)-ROW($A$46)),COLUMN(L46)-COLUMN($A$46))</f>
        <v>0</v>
      </c>
    </row>
    <row r="54" spans="1:12" x14ac:dyDescent="0.25">
      <c r="A54" s="223">
        <f ca="1">OFFSET($A$70,MATCH('Opportunity Library'!$K$22,'Opp Library - PT'!$A$71:$A$365,0)+3+(ROW(A47)-ROW($A$46)),COLUMN(A47)-COLUMN($A$46))</f>
        <v>0</v>
      </c>
      <c r="B54" s="223">
        <f ca="1">OFFSET($A$70,MATCH('Opportunity Library'!$K$22,'Opp Library - PT'!$A$71:$A$365,0)+3+(ROW(B47)-ROW($A$46)),COLUMN(B47)-COLUMN($A$46))</f>
        <v>0</v>
      </c>
      <c r="C54" s="223">
        <f ca="1">OFFSET($A$70,MATCH('Opportunity Library'!$K$22,'Opp Library - PT'!$A$71:$A$365,0)+3+(ROW(C47)-ROW($A$46)),COLUMN(C47)-COLUMN($A$46))</f>
        <v>0</v>
      </c>
      <c r="D54" s="224">
        <f ca="1">OFFSET($A$70,MATCH('Opportunity Library'!$K$22,'Opp Library - PT'!$A$71:$A$365,0)+3+(ROW(D47)-ROW($A$46)),COLUMN(D47)-COLUMN($A$46))</f>
        <v>0</v>
      </c>
      <c r="E54" s="277">
        <f ca="1">OFFSET($A$70,MATCH('Opportunity Library'!$K$22,'Opp Library - PT'!$A$71:$A$365,0)+3+(ROW(E47)-ROW($A$46)),COLUMN(E47)-COLUMN($A$46))</f>
        <v>0</v>
      </c>
      <c r="F54" s="224">
        <f ca="1">OFFSET($A$70,MATCH('Opportunity Library'!$K$22,'Opp Library - PT'!$A$71:$A$365,0)+3+(ROW(F47)-ROW($A$46)),COLUMN(F47)-COLUMN($A$46))</f>
        <v>0</v>
      </c>
      <c r="G54" s="223">
        <f ca="1">OFFSET($A$70,MATCH('Opportunity Library'!$K$22,'Opp Library - PT'!$A$71:$A$365,0)+3+(ROW(G47)-ROW($A$46)),COLUMN(G47)-COLUMN($A$46))</f>
        <v>0</v>
      </c>
      <c r="H54" s="223">
        <f ca="1">OFFSET($A$70,MATCH('Opportunity Library'!$K$22,'Opp Library - PT'!$A$71:$A$365,0)+3+(ROW(H47)-ROW($A$46)),COLUMN(H47)-COLUMN($A$46))</f>
        <v>0</v>
      </c>
      <c r="I54" s="225">
        <f ca="1">OFFSET($A$70,MATCH('Opportunity Library'!$K$22,'Opp Library - PT'!$A$71:$A$365,0)+3+(ROW(I47)-ROW($A$46)),COLUMN(I47)-COLUMN($A$46))</f>
        <v>0</v>
      </c>
      <c r="J54" s="273">
        <f ca="1">OFFSET($A$70,MATCH('Opportunity Library'!$K$22,'Opp Library - PT'!$A$71:$A$365,0)+3+(ROW(J47)-ROW($A$46)),COLUMN(J47)-COLUMN($A$46))</f>
        <v>0</v>
      </c>
      <c r="K54" s="275">
        <f ca="1">OFFSET($A$70,MATCH('Opportunity Library'!$K$22,'Opp Library - PT'!$A$71:$A$365,0)+3+(ROW(K47)-ROW($A$46)),COLUMN(K47)-COLUMN($A$46))</f>
        <v>0</v>
      </c>
      <c r="L54" s="275">
        <f ca="1">OFFSET($A$70,MATCH('Opportunity Library'!$K$22,'Opp Library - PT'!$A$71:$A$365,0)+3+(ROW(L47)-ROW($A$46)),COLUMN(L47)-COLUMN($A$46))</f>
        <v>0</v>
      </c>
    </row>
    <row r="55" spans="1:12" x14ac:dyDescent="0.25">
      <c r="A55" s="223">
        <f ca="1">OFFSET($A$70,MATCH('Opportunity Library'!$K$22,'Opp Library - PT'!$A$71:$A$365,0)+3+(ROW(A48)-ROW($A$46)),COLUMN(A48)-COLUMN($A$46))</f>
        <v>0</v>
      </c>
      <c r="B55" s="223">
        <f ca="1">OFFSET($A$70,MATCH('Opportunity Library'!$K$22,'Opp Library - PT'!$A$71:$A$365,0)+3+(ROW(B48)-ROW($A$46)),COLUMN(B48)-COLUMN($A$46))</f>
        <v>0</v>
      </c>
      <c r="C55" s="223">
        <f ca="1">OFFSET($A$70,MATCH('Opportunity Library'!$K$22,'Opp Library - PT'!$A$71:$A$365,0)+3+(ROW(C48)-ROW($A$46)),COLUMN(C48)-COLUMN($A$46))</f>
        <v>0</v>
      </c>
      <c r="D55" s="224">
        <f ca="1">OFFSET($A$70,MATCH('Opportunity Library'!$K$22,'Opp Library - PT'!$A$71:$A$365,0)+3+(ROW(D48)-ROW($A$46)),COLUMN(D48)-COLUMN($A$46))</f>
        <v>0</v>
      </c>
      <c r="E55" s="277">
        <f ca="1">OFFSET($A$70,MATCH('Opportunity Library'!$K$22,'Opp Library - PT'!$A$71:$A$365,0)+3+(ROW(E48)-ROW($A$46)),COLUMN(E48)-COLUMN($A$46))</f>
        <v>0</v>
      </c>
      <c r="F55" s="224">
        <f ca="1">OFFSET($A$70,MATCH('Opportunity Library'!$K$22,'Opp Library - PT'!$A$71:$A$365,0)+3+(ROW(F48)-ROW($A$46)),COLUMN(F48)-COLUMN($A$46))</f>
        <v>0</v>
      </c>
      <c r="G55" s="223">
        <f ca="1">OFFSET($A$70,MATCH('Opportunity Library'!$K$22,'Opp Library - PT'!$A$71:$A$365,0)+3+(ROW(G48)-ROW($A$46)),COLUMN(G48)-COLUMN($A$46))</f>
        <v>0</v>
      </c>
      <c r="H55" s="223">
        <f ca="1">OFFSET($A$70,MATCH('Opportunity Library'!$K$22,'Opp Library - PT'!$A$71:$A$365,0)+3+(ROW(H48)-ROW($A$46)),COLUMN(H48)-COLUMN($A$46))</f>
        <v>0</v>
      </c>
      <c r="I55" s="225">
        <f ca="1">OFFSET($A$70,MATCH('Opportunity Library'!$K$22,'Opp Library - PT'!$A$71:$A$365,0)+3+(ROW(I48)-ROW($A$46)),COLUMN(I48)-COLUMN($A$46))</f>
        <v>0</v>
      </c>
      <c r="J55" s="273">
        <f ca="1">OFFSET($A$70,MATCH('Opportunity Library'!$K$22,'Opp Library - PT'!$A$71:$A$365,0)+3+(ROW(J48)-ROW($A$46)),COLUMN(J48)-COLUMN($A$46))</f>
        <v>0</v>
      </c>
      <c r="K55" s="275">
        <f ca="1">OFFSET($A$70,MATCH('Opportunity Library'!$K$22,'Opp Library - PT'!$A$71:$A$365,0)+3+(ROW(K48)-ROW($A$46)),COLUMN(K48)-COLUMN($A$46))</f>
        <v>0</v>
      </c>
      <c r="L55" s="275">
        <f ca="1">OFFSET($A$70,MATCH('Opportunity Library'!$K$22,'Opp Library - PT'!$A$71:$A$365,0)+3+(ROW(L48)-ROW($A$46)),COLUMN(L48)-COLUMN($A$46))</f>
        <v>0</v>
      </c>
    </row>
    <row r="56" spans="1:12" x14ac:dyDescent="0.25">
      <c r="A56" s="223">
        <f ca="1">OFFSET($A$70,MATCH('Opportunity Library'!$K$22,'Opp Library - PT'!$A$71:$A$365,0)+3+(ROW(A49)-ROW($A$46)),COLUMN(A49)-COLUMN($A$46))</f>
        <v>0</v>
      </c>
      <c r="B56" s="223">
        <f ca="1">OFFSET($A$70,MATCH('Opportunity Library'!$K$22,'Opp Library - PT'!$A$71:$A$365,0)+3+(ROW(B49)-ROW($A$46)),COLUMN(B49)-COLUMN($A$46))</f>
        <v>0</v>
      </c>
      <c r="C56" s="223">
        <f ca="1">OFFSET($A$70,MATCH('Opportunity Library'!$K$22,'Opp Library - PT'!$A$71:$A$365,0)+3+(ROW(C49)-ROW($A$46)),COLUMN(C49)-COLUMN($A$46))</f>
        <v>0</v>
      </c>
      <c r="D56" s="224">
        <f ca="1">OFFSET($A$70,MATCH('Opportunity Library'!$K$22,'Opp Library - PT'!$A$71:$A$365,0)+3+(ROW(D49)-ROW($A$46)),COLUMN(D49)-COLUMN($A$46))</f>
        <v>0</v>
      </c>
      <c r="E56" s="277">
        <f ca="1">OFFSET($A$70,MATCH('Opportunity Library'!$K$22,'Opp Library - PT'!$A$71:$A$365,0)+3+(ROW(E49)-ROW($A$46)),COLUMN(E49)-COLUMN($A$46))</f>
        <v>0</v>
      </c>
      <c r="F56" s="224">
        <f ca="1">OFFSET($A$70,MATCH('Opportunity Library'!$K$22,'Opp Library - PT'!$A$71:$A$365,0)+3+(ROW(F49)-ROW($A$46)),COLUMN(F49)-COLUMN($A$46))</f>
        <v>0</v>
      </c>
      <c r="G56" s="223">
        <f ca="1">OFFSET($A$70,MATCH('Opportunity Library'!$K$22,'Opp Library - PT'!$A$71:$A$365,0)+3+(ROW(G49)-ROW($A$46)),COLUMN(G49)-COLUMN($A$46))</f>
        <v>0</v>
      </c>
      <c r="H56" s="223">
        <f ca="1">OFFSET($A$70,MATCH('Opportunity Library'!$K$22,'Opp Library - PT'!$A$71:$A$365,0)+3+(ROW(H49)-ROW($A$46)),COLUMN(H49)-COLUMN($A$46))</f>
        <v>0</v>
      </c>
      <c r="I56" s="225">
        <f ca="1">OFFSET($A$70,MATCH('Opportunity Library'!$K$22,'Opp Library - PT'!$A$71:$A$365,0)+3+(ROW(I49)-ROW($A$46)),COLUMN(I49)-COLUMN($A$46))</f>
        <v>0</v>
      </c>
      <c r="J56" s="273">
        <f ca="1">OFFSET($A$70,MATCH('Opportunity Library'!$K$22,'Opp Library - PT'!$A$71:$A$365,0)+3+(ROW(J49)-ROW($A$46)),COLUMN(J49)-COLUMN($A$46))</f>
        <v>0</v>
      </c>
      <c r="K56" s="275">
        <f ca="1">OFFSET($A$70,MATCH('Opportunity Library'!$K$22,'Opp Library - PT'!$A$71:$A$365,0)+3+(ROW(K49)-ROW($A$46)),COLUMN(K49)-COLUMN($A$46))</f>
        <v>0</v>
      </c>
      <c r="L56" s="275">
        <f ca="1">OFFSET($A$70,MATCH('Opportunity Library'!$K$22,'Opp Library - PT'!$A$71:$A$365,0)+3+(ROW(L49)-ROW($A$46)),COLUMN(L49)-COLUMN($A$46))</f>
        <v>0</v>
      </c>
    </row>
    <row r="57" spans="1:12" x14ac:dyDescent="0.25">
      <c r="A57" s="223"/>
      <c r="B57" s="223"/>
      <c r="C57" s="274"/>
      <c r="D57" s="224"/>
      <c r="E57" s="278"/>
      <c r="F57" s="227"/>
      <c r="G57" s="226"/>
      <c r="H57" s="226"/>
      <c r="I57" s="225"/>
      <c r="J57" s="277"/>
      <c r="K57" s="276"/>
      <c r="L57" s="276"/>
    </row>
    <row r="58" spans="1:12" x14ac:dyDescent="0.25">
      <c r="A58" s="223" t="s">
        <v>67</v>
      </c>
      <c r="B58" s="223"/>
      <c r="C58" s="274"/>
      <c r="D58" s="224"/>
      <c r="E58" s="278"/>
      <c r="F58" s="227"/>
      <c r="G58" s="226"/>
      <c r="H58" s="226"/>
      <c r="I58" s="225"/>
      <c r="J58" s="277"/>
      <c r="K58" s="276"/>
      <c r="L58" s="276"/>
    </row>
    <row r="59" spans="1:12" ht="62.5" x14ac:dyDescent="0.25">
      <c r="A59" s="223" t="str">
        <f ca="1">OFFSET($A$70,MATCH('Opportunity Library'!$I$22,'Opp Library - PT'!$A$71:$A$365,0)+3+(ROW(A45)-ROW($A$46)),COLUMN(A45)-COLUMN($A$46))</f>
        <v>Opportunity Description</v>
      </c>
      <c r="B59" s="223" t="str">
        <f ca="1">OFFSET($A$70,MATCH('Opportunity Library'!$I$22,'Opp Library - PT'!$A$71:$A$365,0)+3+(ROW(B45)-ROW($A$46)),COLUMN(B45)-COLUMN($A$46))</f>
        <v>Hyperlink to URL</v>
      </c>
      <c r="C59" s="223" t="str">
        <f ca="1">OFFSET($A$70,MATCH('Opportunity Library'!$I$22,'Opp Library - PT'!$A$71:$A$365,0)+3+(ROW(C45)-ROW($A$46)),COLUMN(C45)-COLUMN($A$46))</f>
        <v>Sum of back-calculated actual saving ($ / yr)-Total</v>
      </c>
      <c r="D59" s="224" t="str">
        <f ca="1">OFFSET($A$70,MATCH('Opportunity Library'!$I$22,'Opp Library - PT'!$A$71:$A$365,0)+3+(ROW(D45)-ROW($A$46)),COLUMN(D45)-COLUMN($A$46))</f>
        <v>Sum of Consider Opportunity?-thermal</v>
      </c>
      <c r="E59" s="273" t="str">
        <f ca="1">OFFSET($A$70,MATCH('Opportunity Library'!$I$22,'Opp Library - PT'!$A$71:$A$365,0)+3+(ROW(E45)-ROW($A$46)),COLUMN(E45)-COLUMN($A$46))</f>
        <v>Sum of Consider Opportunity?-elec</v>
      </c>
      <c r="F59" s="224" t="str">
        <f ca="1">OFFSET($A$70,MATCH('Opportunity Library'!$I$22,'Opp Library - PT'!$A$71:$A$365,0)+3+(ROW(F45)-ROW($A$46)),COLUMN(F45)-COLUMN($A$46))</f>
        <v>Sum of back-calculated actual saving ($ / yr)-water</v>
      </c>
      <c r="G59" s="223" t="str">
        <f ca="1">OFFSET($A$70,MATCH('Opportunity Library'!$I$22,'Opp Library - PT'!$A$71:$A$365,0)+3+(ROW(G45)-ROW($A$46)),COLUMN(G45)-COLUMN($A$46))</f>
        <v>Sum of back-calculated adjusted CAPEX</v>
      </c>
      <c r="H59" s="223" t="str">
        <f ca="1">OFFSET($A$70,MATCH('Opportunity Library'!$I$22,'Opp Library - PT'!$A$71:$A$365,0)+3+(ROW(H45)-ROW($A$46)),COLUMN(H45)-COLUMN($A$46))</f>
        <v>Min of adjusted payback (years)-lower</v>
      </c>
      <c r="I59" s="223" t="str">
        <f ca="1">OFFSET($A$70,MATCH('Opportunity Library'!$I$22,'Opp Library - PT'!$A$71:$A$365,0)+3+(ROW(I45)-ROW($A$46)),COLUMN(I45)-COLUMN($A$46))</f>
        <v>Max of adjusted payback (years)-upper</v>
      </c>
      <c r="J59" s="273">
        <f ca="1">OFFSET($A$70,MATCH('Opportunity Library'!$I$22,'Opp Library - PT'!$A$71:$A$365,0)+3+(ROW(J45)-ROW($A$46)),COLUMN(J45)-COLUMN($A$46))</f>
        <v>0</v>
      </c>
      <c r="K59" s="273">
        <f ca="1">OFFSET($A$70,MATCH('Opportunity Library'!$I$22,'Opp Library - PT'!$A$71:$A$365,0)+3+(ROW(K45)-ROW($A$46)),COLUMN(K45)-COLUMN($A$46))</f>
        <v>0</v>
      </c>
      <c r="L59" s="273">
        <f ca="1">OFFSET($A$70,MATCH('Opportunity Library'!$I$22,'Opp Library - PT'!$A$71:$A$365,0)+3+(ROW(L45)-ROW($A$46)),COLUMN(L45)-COLUMN($A$46))</f>
        <v>0</v>
      </c>
    </row>
    <row r="60" spans="1:12" ht="100" x14ac:dyDescent="0.25">
      <c r="A60" s="223" t="str">
        <f ca="1">OFFSET($A$70,MATCH('Opportunity Library'!$I$22,'Opp Library - PT'!$A$71:$A$365,0)+3+(ROW(A46)-ROW($A$46)),COLUMN(A46)-COLUMN($A$46))</f>
        <v>Replace pot-style sterilisers with spray sterilisers.</v>
      </c>
      <c r="B60" s="223" t="str">
        <f ca="1">OFFSET($A$70,MATCH('Opportunity Library'!$I$22,'Opp Library - PT'!$A$71:$A$365,0)+3+(ROW(B46)-ROW($A$46)),COLUMN(B46)-COLUMN($A$46))</f>
        <v xml:space="preserve">https://www.ecoefficiencygroup.com.au/wp-content/uploads/2017/11/ecomeat_manual.pdf </v>
      </c>
      <c r="C60" s="223">
        <f ca="1">OFFSET($A$70,MATCH('Opportunity Library'!$I$22,'Opp Library - PT'!$A$71:$A$365,0)+3+(ROW(C46)-ROW($A$46)),COLUMN(C46)-COLUMN($A$46))</f>
        <v>11625</v>
      </c>
      <c r="D60" s="224">
        <f ca="1">OFFSET($A$70,MATCH('Opportunity Library'!$I$22,'Opp Library - PT'!$A$71:$A$365,0)+3+(ROW(D46)-ROW($A$46)),COLUMN(D46)-COLUMN($A$46))</f>
        <v>0</v>
      </c>
      <c r="E60" s="277">
        <f ca="1">OFFSET($A$70,MATCH('Opportunity Library'!$I$22,'Opp Library - PT'!$A$71:$A$365,0)+3+(ROW(E46)-ROW($A$46)),COLUMN(E46)-COLUMN($A$46))</f>
        <v>0</v>
      </c>
      <c r="F60" s="224">
        <f ca="1">OFFSET($A$70,MATCH('Opportunity Library'!$I$22,'Opp Library - PT'!$A$71:$A$365,0)+3+(ROW(F46)-ROW($A$46)),COLUMN(F46)-COLUMN($A$46))</f>
        <v>11625</v>
      </c>
      <c r="G60" s="223">
        <f ca="1">OFFSET($A$70,MATCH('Opportunity Library'!$I$22,'Opp Library - PT'!$A$71:$A$365,0)+3+(ROW(G46)-ROW($A$46)),COLUMN(G46)-COLUMN($A$46))</f>
        <v>5812.5</v>
      </c>
      <c r="H60" s="223">
        <f ca="1">OFFSET($A$70,MATCH('Opportunity Library'!$I$22,'Opp Library - PT'!$A$71:$A$365,0)+3+(ROW(H46)-ROW($A$46)),COLUMN(H46)-COLUMN($A$46))</f>
        <v>0.375</v>
      </c>
      <c r="I60" s="225">
        <f ca="1">OFFSET($A$70,MATCH('Opportunity Library'!$I$22,'Opp Library - PT'!$A$71:$A$365,0)+3+(ROW(I46)-ROW($A$46)),COLUMN(I46)-COLUMN($A$46))</f>
        <v>0.625</v>
      </c>
      <c r="J60" s="273">
        <f ca="1">OFFSET($A$70,MATCH('Opportunity Library'!$I$22,'Opp Library - PT'!$A$71:$A$365,0)+3+(ROW(J46)-ROW($A$46)),COLUMN(J46)-COLUMN($A$46))</f>
        <v>0</v>
      </c>
      <c r="K60" s="275">
        <f ca="1">OFFSET($A$70,MATCH('Opportunity Library'!$I$22,'Opp Library - PT'!$A$71:$A$365,0)+3+(ROW(K46)-ROW($A$46)),COLUMN(K46)-COLUMN($A$46))</f>
        <v>0</v>
      </c>
      <c r="L60" s="275">
        <f ca="1">OFFSET($A$70,MATCH('Opportunity Library'!$I$22,'Opp Library - PT'!$A$71:$A$365,0)+3+(ROW(L46)-ROW($A$46)),COLUMN(L46)-COLUMN($A$46))</f>
        <v>0</v>
      </c>
    </row>
    <row r="61" spans="1:12" ht="62.5" x14ac:dyDescent="0.25">
      <c r="A61" s="223" t="str">
        <f ca="1">OFFSET($A$70,MATCH('Opportunity Library'!$I$22,'Opp Library - PT'!$A$71:$A$365,0)+3+(ROW(A47)-ROW($A$46)),COLUMN(A47)-COLUMN($A$46))</f>
        <v>Install energy and water flow meters for major loads and monitor use via a central process control system or web based system. Extend system to provide online alarms and SMS alerts available remotely.</v>
      </c>
      <c r="B61" s="223" t="str">
        <f ca="1">OFFSET($A$70,MATCH('Opportunity Library'!$I$22,'Opp Library - PT'!$A$71:$A$365,0)+3+(ROW(B47)-ROW($A$46)),COLUMN(B47)-COLUMN($A$46))</f>
        <v>(blank)</v>
      </c>
      <c r="C61" s="223">
        <f ca="1">OFFSET($A$70,MATCH('Opportunity Library'!$I$22,'Opp Library - PT'!$A$71:$A$365,0)+3+(ROW(C47)-ROW($A$46)),COLUMN(C47)-COLUMN($A$46))</f>
        <v>94460</v>
      </c>
      <c r="D61" s="224">
        <f ca="1">OFFSET($A$70,MATCH('Opportunity Library'!$I$22,'Opp Library - PT'!$A$71:$A$365,0)+3+(ROW(D47)-ROW($A$46)),COLUMN(D47)-COLUMN($A$46))</f>
        <v>0</v>
      </c>
      <c r="E61" s="277">
        <f ca="1">OFFSET($A$70,MATCH('Opportunity Library'!$I$22,'Opp Library - PT'!$A$71:$A$365,0)+3+(ROW(E47)-ROW($A$46)),COLUMN(E47)-COLUMN($A$46))</f>
        <v>0</v>
      </c>
      <c r="F61" s="224">
        <f ca="1">OFFSET($A$70,MATCH('Opportunity Library'!$I$22,'Opp Library - PT'!$A$71:$A$365,0)+3+(ROW(F47)-ROW($A$46)),COLUMN(F47)-COLUMN($A$46))</f>
        <v>46500</v>
      </c>
      <c r="G61" s="223">
        <f ca="1">OFFSET($A$70,MATCH('Opportunity Library'!$I$22,'Opp Library - PT'!$A$71:$A$365,0)+3+(ROW(G47)-ROW($A$46)),COLUMN(G47)-COLUMN($A$46))</f>
        <v>188920</v>
      </c>
      <c r="H61" s="223">
        <f ca="1">OFFSET($A$70,MATCH('Opportunity Library'!$I$22,'Opp Library - PT'!$A$71:$A$365,0)+3+(ROW(H47)-ROW($A$46)),COLUMN(H47)-COLUMN($A$46))</f>
        <v>1.5</v>
      </c>
      <c r="I61" s="225">
        <f ca="1">OFFSET($A$70,MATCH('Opportunity Library'!$I$22,'Opp Library - PT'!$A$71:$A$365,0)+3+(ROW(I47)-ROW($A$46)),COLUMN(I47)-COLUMN($A$46))</f>
        <v>2.5</v>
      </c>
      <c r="J61" s="273">
        <f ca="1">OFFSET($A$70,MATCH('Opportunity Library'!$I$22,'Opp Library - PT'!$A$71:$A$365,0)+3+(ROW(J47)-ROW($A$46)),COLUMN(J47)-COLUMN($A$46))</f>
        <v>0</v>
      </c>
      <c r="K61" s="275">
        <f ca="1">OFFSET($A$70,MATCH('Opportunity Library'!$I$22,'Opp Library - PT'!$A$71:$A$365,0)+3+(ROW(K47)-ROW($A$46)),COLUMN(K47)-COLUMN($A$46))</f>
        <v>0</v>
      </c>
      <c r="L61" s="275">
        <f ca="1">OFFSET($A$70,MATCH('Opportunity Library'!$I$22,'Opp Library - PT'!$A$71:$A$365,0)+3+(ROW(L47)-ROW($A$46)),COLUMN(L47)-COLUMN($A$46))</f>
        <v>0</v>
      </c>
    </row>
    <row r="62" spans="1:12" ht="100" x14ac:dyDescent="0.25">
      <c r="A62" s="223" t="str">
        <f ca="1">OFFSET($A$70,MATCH('Opportunity Library'!$I$22,'Opp Library - PT'!$A$71:$A$365,0)+3+(ROW(A48)-ROW($A$46)),COLUMN(A48)-COLUMN($A$46))</f>
        <v>Install storm water recovery and collection systems to reduce water used for washing cattle and potentially some process water uses.</v>
      </c>
      <c r="B62" s="223" t="str">
        <f ca="1">OFFSET($A$70,MATCH('Opportunity Library'!$I$22,'Opp Library - PT'!$A$71:$A$365,0)+3+(ROW(B48)-ROW($A$46)),COLUMN(B48)-COLUMN($A$46))</f>
        <v xml:space="preserve">https://www.ecoefficiencygroup.com.au/wp-content/uploads/2017/11/ecomeat_manual.pdf </v>
      </c>
      <c r="C62" s="223">
        <f ca="1">OFFSET($A$70,MATCH('Opportunity Library'!$I$22,'Opp Library - PT'!$A$71:$A$365,0)+3+(ROW(C48)-ROW($A$46)),COLUMN(C48)-COLUMN($A$46))</f>
        <v>46500</v>
      </c>
      <c r="D62" s="224">
        <f ca="1">OFFSET($A$70,MATCH('Opportunity Library'!$I$22,'Opp Library - PT'!$A$71:$A$365,0)+3+(ROW(D48)-ROW($A$46)),COLUMN(D48)-COLUMN($A$46))</f>
        <v>0</v>
      </c>
      <c r="E62" s="277">
        <f ca="1">OFFSET($A$70,MATCH('Opportunity Library'!$I$22,'Opp Library - PT'!$A$71:$A$365,0)+3+(ROW(E48)-ROW($A$46)),COLUMN(E48)-COLUMN($A$46))</f>
        <v>0</v>
      </c>
      <c r="F62" s="224">
        <f ca="1">OFFSET($A$70,MATCH('Opportunity Library'!$I$22,'Opp Library - PT'!$A$71:$A$365,0)+3+(ROW(F48)-ROW($A$46)),COLUMN(F48)-COLUMN($A$46))</f>
        <v>46500</v>
      </c>
      <c r="G62" s="223">
        <f ca="1">OFFSET($A$70,MATCH('Opportunity Library'!$I$22,'Opp Library - PT'!$A$71:$A$365,0)+3+(ROW(G48)-ROW($A$46)),COLUMN(G48)-COLUMN($A$46))</f>
        <v>93000</v>
      </c>
      <c r="H62" s="223">
        <f ca="1">OFFSET($A$70,MATCH('Opportunity Library'!$I$22,'Opp Library - PT'!$A$71:$A$365,0)+3+(ROW(H48)-ROW($A$46)),COLUMN(H48)-COLUMN($A$46))</f>
        <v>1.5</v>
      </c>
      <c r="I62" s="225">
        <f ca="1">OFFSET($A$70,MATCH('Opportunity Library'!$I$22,'Opp Library - PT'!$A$71:$A$365,0)+3+(ROW(I48)-ROW($A$46)),COLUMN(I48)-COLUMN($A$46))</f>
        <v>2.5</v>
      </c>
      <c r="J62" s="273">
        <f ca="1">OFFSET($A$70,MATCH('Opportunity Library'!$I$22,'Opp Library - PT'!$A$71:$A$365,0)+3+(ROW(J48)-ROW($A$46)),COLUMN(J48)-COLUMN($A$46))</f>
        <v>0</v>
      </c>
      <c r="K62" s="275">
        <f ca="1">OFFSET($A$70,MATCH('Opportunity Library'!$I$22,'Opp Library - PT'!$A$71:$A$365,0)+3+(ROW(K48)-ROW($A$46)),COLUMN(K48)-COLUMN($A$46))</f>
        <v>0</v>
      </c>
      <c r="L62" s="275">
        <f ca="1">OFFSET($A$70,MATCH('Opportunity Library'!$I$22,'Opp Library - PT'!$A$71:$A$365,0)+3+(ROW(L48)-ROW($A$46)),COLUMN(L48)-COLUMN($A$46))</f>
        <v>0</v>
      </c>
    </row>
    <row r="63" spans="1:12" ht="150" x14ac:dyDescent="0.25">
      <c r="A63" s="223" t="str">
        <f ca="1">OFFSET($A$70,MATCH('Opportunity Library'!$I$22,'Opp Library - PT'!$A$71:$A$365,0)+3+(ROW(A49)-ROW($A$46)),COLUMN(A49)-COLUMN($A$46))</f>
        <v xml:space="preserve">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v>
      </c>
      <c r="B63" s="223" t="str">
        <f ca="1">OFFSET($A$70,MATCH('Opportunity Library'!$I$22,'Opp Library - PT'!$A$71:$A$365,0)+3+(ROW(B49)-ROW($A$46)),COLUMN(B49)-COLUMN($A$46))</f>
        <v xml:space="preserve">https://www.ampc.com.au/2013/01/Reuse-of-water-in-Tripe-processing </v>
      </c>
      <c r="C63" s="223">
        <f ca="1">OFFSET($A$70,MATCH('Opportunity Library'!$I$22,'Opp Library - PT'!$A$71:$A$365,0)+3+(ROW(C49)-ROW($A$46)),COLUMN(C49)-COLUMN($A$46))</f>
        <v>69750</v>
      </c>
      <c r="D63" s="224">
        <f ca="1">OFFSET($A$70,MATCH('Opportunity Library'!$I$22,'Opp Library - PT'!$A$71:$A$365,0)+3+(ROW(D49)-ROW($A$46)),COLUMN(D49)-COLUMN($A$46))</f>
        <v>0</v>
      </c>
      <c r="E63" s="277">
        <f ca="1">OFFSET($A$70,MATCH('Opportunity Library'!$I$22,'Opp Library - PT'!$A$71:$A$365,0)+3+(ROW(E49)-ROW($A$46)),COLUMN(E49)-COLUMN($A$46))</f>
        <v>0</v>
      </c>
      <c r="F63" s="224">
        <f ca="1">OFFSET($A$70,MATCH('Opportunity Library'!$I$22,'Opp Library - PT'!$A$71:$A$365,0)+3+(ROW(F49)-ROW($A$46)),COLUMN(F49)-COLUMN($A$46))</f>
        <v>69750</v>
      </c>
      <c r="G63" s="223">
        <f ca="1">OFFSET($A$70,MATCH('Opportunity Library'!$I$22,'Opp Library - PT'!$A$71:$A$365,0)+3+(ROW(G49)-ROW($A$46)),COLUMN(G49)-COLUMN($A$46))</f>
        <v>20925</v>
      </c>
      <c r="H63" s="223">
        <f ca="1">OFFSET($A$70,MATCH('Opportunity Library'!$I$22,'Opp Library - PT'!$A$71:$A$365,0)+3+(ROW(H49)-ROW($A$46)),COLUMN(H49)-COLUMN($A$46))</f>
        <v>0.22499999999999998</v>
      </c>
      <c r="I63" s="225">
        <f ca="1">OFFSET($A$70,MATCH('Opportunity Library'!$I$22,'Opp Library - PT'!$A$71:$A$365,0)+3+(ROW(I49)-ROW($A$46)),COLUMN(I49)-COLUMN($A$46))</f>
        <v>0.375</v>
      </c>
      <c r="J63" s="273">
        <f ca="1">OFFSET($A$70,MATCH('Opportunity Library'!$I$22,'Opp Library - PT'!$A$71:$A$365,0)+3+(ROW(J49)-ROW($A$46)),COLUMN(J49)-COLUMN($A$46))</f>
        <v>0</v>
      </c>
      <c r="K63" s="275">
        <f ca="1">OFFSET($A$70,MATCH('Opportunity Library'!$I$22,'Opp Library - PT'!$A$71:$A$365,0)+3+(ROW(K49)-ROW($A$46)),COLUMN(K49)-COLUMN($A$46))</f>
        <v>0</v>
      </c>
      <c r="L63" s="275">
        <f ca="1">OFFSET($A$70,MATCH('Opportunity Library'!$I$22,'Opp Library - PT'!$A$71:$A$365,0)+3+(ROW(L49)-ROW($A$46)),COLUMN(L49)-COLUMN($A$46))</f>
        <v>0</v>
      </c>
    </row>
    <row r="64" spans="1:12" x14ac:dyDescent="0.25">
      <c r="A64" s="228"/>
      <c r="B64" s="228"/>
      <c r="C64" s="229"/>
      <c r="D64" s="228"/>
      <c r="E64" s="279"/>
      <c r="F64" s="230"/>
      <c r="G64" s="230"/>
      <c r="H64" s="230"/>
      <c r="I64" s="231"/>
      <c r="J64" s="231"/>
      <c r="K64" s="232"/>
      <c r="L64" s="232"/>
    </row>
    <row r="68" spans="1:13" ht="13" x14ac:dyDescent="0.3">
      <c r="A68" s="177" t="str">
        <f>A6</f>
        <v>1) create pivot tables of the opportunities list, applying filters to identify key metrics</v>
      </c>
    </row>
    <row r="71" spans="1:13" x14ac:dyDescent="0.25">
      <c r="A71" s="109" t="s">
        <v>352</v>
      </c>
      <c r="B71" t="s">
        <v>358</v>
      </c>
    </row>
    <row r="72" spans="1:13" s="113" customFormat="1" x14ac:dyDescent="0.25">
      <c r="A72" s="109" t="s">
        <v>490</v>
      </c>
      <c r="B72" t="s">
        <v>358</v>
      </c>
      <c r="C72"/>
      <c r="D72"/>
      <c r="E72"/>
      <c r="F72" s="111"/>
      <c r="G72"/>
      <c r="H72"/>
      <c r="I72"/>
      <c r="J72"/>
      <c r="K72" s="222"/>
      <c r="L72" s="222"/>
      <c r="M72"/>
    </row>
    <row r="73" spans="1:13" x14ac:dyDescent="0.25">
      <c r="C73"/>
      <c r="E73"/>
      <c r="G73"/>
      <c r="H73"/>
      <c r="I73"/>
      <c r="J73"/>
    </row>
    <row r="74" spans="1:13" ht="65" x14ac:dyDescent="0.3">
      <c r="A74" s="112" t="s">
        <v>320</v>
      </c>
      <c r="B74" s="109" t="s">
        <v>519</v>
      </c>
      <c r="C74" t="s">
        <v>794</v>
      </c>
      <c r="D74" t="s">
        <v>795</v>
      </c>
      <c r="E74" t="s">
        <v>796</v>
      </c>
      <c r="F74" t="s">
        <v>797</v>
      </c>
      <c r="G74" t="s">
        <v>766</v>
      </c>
      <c r="H74" s="113" t="s">
        <v>488</v>
      </c>
      <c r="I74" s="113" t="s">
        <v>489</v>
      </c>
      <c r="J74" t="s">
        <v>1020</v>
      </c>
      <c r="K74" t="s">
        <v>1021</v>
      </c>
      <c r="L74" t="s">
        <v>1023</v>
      </c>
    </row>
    <row r="75" spans="1:13" x14ac:dyDescent="0.25">
      <c r="A75" t="s">
        <v>558</v>
      </c>
      <c r="B75" t="s">
        <v>1079</v>
      </c>
      <c r="C75" s="221">
        <v>3720</v>
      </c>
      <c r="D75" s="221">
        <v>3720</v>
      </c>
      <c r="E75" s="221">
        <v>0</v>
      </c>
      <c r="F75" s="221">
        <v>0</v>
      </c>
      <c r="G75" s="221">
        <v>3720</v>
      </c>
      <c r="H75" s="221">
        <v>0.75</v>
      </c>
      <c r="I75" s="221">
        <v>1.25</v>
      </c>
      <c r="J75" s="221">
        <v>150.72524999999999</v>
      </c>
      <c r="K75" s="221">
        <v>0</v>
      </c>
      <c r="L75" s="221">
        <v>150.72524999999999</v>
      </c>
    </row>
    <row r="76" spans="1:13" x14ac:dyDescent="0.25">
      <c r="A76" t="s">
        <v>579</v>
      </c>
      <c r="B76" t="s">
        <v>1079</v>
      </c>
      <c r="C76" s="221">
        <v>2480</v>
      </c>
      <c r="D76" s="221">
        <v>2480</v>
      </c>
      <c r="E76" s="221">
        <v>0</v>
      </c>
      <c r="F76" s="221">
        <v>0</v>
      </c>
      <c r="G76" s="221">
        <v>7440</v>
      </c>
      <c r="H76" s="221">
        <v>2.25</v>
      </c>
      <c r="I76" s="221">
        <v>3.75</v>
      </c>
      <c r="J76" s="221">
        <v>100.48350000000001</v>
      </c>
      <c r="K76" s="221">
        <v>0</v>
      </c>
      <c r="L76" s="221">
        <v>100.48350000000001</v>
      </c>
    </row>
    <row r="77" spans="1:13" x14ac:dyDescent="0.25">
      <c r="A77" t="s">
        <v>581</v>
      </c>
      <c r="B77" t="s">
        <v>1079</v>
      </c>
      <c r="C77" s="221">
        <v>1240</v>
      </c>
      <c r="D77" s="221">
        <v>1240</v>
      </c>
      <c r="E77" s="221">
        <v>0</v>
      </c>
      <c r="F77" s="221">
        <v>0</v>
      </c>
      <c r="G77" s="221">
        <v>2480</v>
      </c>
      <c r="H77" s="221">
        <v>1.5</v>
      </c>
      <c r="I77" s="221">
        <v>2.5</v>
      </c>
      <c r="J77" s="221">
        <v>50.241750000000003</v>
      </c>
      <c r="K77" s="221">
        <v>0</v>
      </c>
      <c r="L77" s="221">
        <v>50.241750000000003</v>
      </c>
    </row>
    <row r="78" spans="1:13" x14ac:dyDescent="0.25">
      <c r="A78" t="s">
        <v>583</v>
      </c>
      <c r="B78" t="s">
        <v>951</v>
      </c>
      <c r="C78" s="221">
        <v>7440</v>
      </c>
      <c r="D78" s="221">
        <v>7440</v>
      </c>
      <c r="E78" s="221">
        <v>0</v>
      </c>
      <c r="F78" s="221">
        <v>0</v>
      </c>
      <c r="G78" s="221">
        <v>22320</v>
      </c>
      <c r="H78" s="221">
        <v>2.25</v>
      </c>
      <c r="I78" s="221">
        <v>3.75</v>
      </c>
      <c r="J78" s="221">
        <v>301.45049999999998</v>
      </c>
      <c r="K78" s="221">
        <v>0</v>
      </c>
      <c r="L78" s="221">
        <v>301.45049999999998</v>
      </c>
    </row>
    <row r="79" spans="1:13" x14ac:dyDescent="0.25">
      <c r="A79" t="s">
        <v>791</v>
      </c>
      <c r="B79" t="s">
        <v>1079</v>
      </c>
      <c r="C79" s="221">
        <v>94460</v>
      </c>
      <c r="D79" s="221">
        <v>4960</v>
      </c>
      <c r="E79" s="221">
        <v>43000</v>
      </c>
      <c r="F79" s="221">
        <v>46500</v>
      </c>
      <c r="G79" s="221">
        <v>188920</v>
      </c>
      <c r="H79" s="221">
        <v>1.5</v>
      </c>
      <c r="I79" s="221">
        <v>2.5</v>
      </c>
      <c r="J79" s="221">
        <v>200.96700000000001</v>
      </c>
      <c r="K79" s="221">
        <v>274.40000000000003</v>
      </c>
      <c r="L79" s="221">
        <v>475.36700000000008</v>
      </c>
    </row>
    <row r="80" spans="1:13" x14ac:dyDescent="0.25">
      <c r="C80"/>
      <c r="E80"/>
      <c r="F80"/>
      <c r="G80"/>
      <c r="H80"/>
      <c r="I80"/>
      <c r="J80"/>
      <c r="K80"/>
      <c r="L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1:13" x14ac:dyDescent="0.25">
      <c r="C97"/>
      <c r="E97"/>
      <c r="F97"/>
      <c r="G97"/>
      <c r="H97"/>
      <c r="I97"/>
      <c r="J97"/>
      <c r="K97"/>
      <c r="L97"/>
    </row>
    <row r="98" spans="1:13" x14ac:dyDescent="0.25">
      <c r="C98"/>
      <c r="E98"/>
      <c r="G98"/>
      <c r="H98"/>
      <c r="I98"/>
      <c r="J98"/>
    </row>
    <row r="99" spans="1:13" x14ac:dyDescent="0.25">
      <c r="C99"/>
      <c r="E99"/>
      <c r="G99"/>
      <c r="H99"/>
      <c r="I99"/>
      <c r="J99"/>
    </row>
    <row r="100" spans="1:13" x14ac:dyDescent="0.25">
      <c r="C100"/>
      <c r="E100"/>
      <c r="G100"/>
      <c r="H100"/>
      <c r="I100"/>
      <c r="J100"/>
    </row>
    <row r="101" spans="1:13" x14ac:dyDescent="0.25">
      <c r="A101" s="109" t="s">
        <v>352</v>
      </c>
      <c r="B101" t="s">
        <v>358</v>
      </c>
    </row>
    <row r="102" spans="1:13" s="113" customFormat="1" x14ac:dyDescent="0.25">
      <c r="A102" s="109" t="s">
        <v>491</v>
      </c>
      <c r="B102" t="s">
        <v>358</v>
      </c>
      <c r="C102"/>
      <c r="D102"/>
      <c r="E102"/>
      <c r="F102" s="111"/>
      <c r="G102"/>
      <c r="H102"/>
      <c r="I102"/>
      <c r="J102"/>
      <c r="K102" s="222"/>
      <c r="L102" s="222"/>
      <c r="M102"/>
    </row>
    <row r="103" spans="1:13" x14ac:dyDescent="0.25">
      <c r="C103"/>
      <c r="E103"/>
      <c r="G103"/>
      <c r="H103"/>
      <c r="I103"/>
      <c r="J103"/>
    </row>
    <row r="104" spans="1:13" ht="78" x14ac:dyDescent="0.3">
      <c r="A104" s="109" t="s">
        <v>320</v>
      </c>
      <c r="B104" s="109" t="s">
        <v>519</v>
      </c>
      <c r="C104" s="113" t="s">
        <v>794</v>
      </c>
      <c r="D104" s="113" t="s">
        <v>795</v>
      </c>
      <c r="E104" s="113" t="s">
        <v>796</v>
      </c>
      <c r="F104" s="113" t="s">
        <v>797</v>
      </c>
      <c r="G104" s="113" t="s">
        <v>766</v>
      </c>
      <c r="H104" s="113" t="s">
        <v>488</v>
      </c>
      <c r="I104" s="113" t="s">
        <v>489</v>
      </c>
      <c r="J104" s="113" t="s">
        <v>1020</v>
      </c>
      <c r="K104" s="113" t="s">
        <v>1021</v>
      </c>
      <c r="L104" s="113" t="s">
        <v>1023</v>
      </c>
    </row>
    <row r="105" spans="1:13" x14ac:dyDescent="0.25">
      <c r="C105"/>
      <c r="E105"/>
      <c r="F105"/>
      <c r="G105"/>
      <c r="H105"/>
      <c r="I105"/>
      <c r="J105"/>
      <c r="K105"/>
      <c r="L105"/>
    </row>
    <row r="106" spans="1:13" x14ac:dyDescent="0.25">
      <c r="C106"/>
      <c r="E106"/>
      <c r="F106"/>
      <c r="G106"/>
      <c r="H106"/>
      <c r="I106"/>
      <c r="J106"/>
      <c r="K106"/>
      <c r="L106"/>
    </row>
    <row r="107" spans="1:13" x14ac:dyDescent="0.25">
      <c r="C107"/>
      <c r="E107"/>
      <c r="F107"/>
      <c r="G107"/>
      <c r="H107"/>
      <c r="I107"/>
      <c r="J107"/>
      <c r="K107"/>
      <c r="L107"/>
    </row>
    <row r="108" spans="1:13" x14ac:dyDescent="0.25">
      <c r="C108"/>
      <c r="E108"/>
      <c r="F108"/>
      <c r="G108"/>
      <c r="H108"/>
      <c r="I108"/>
      <c r="J108"/>
      <c r="K108"/>
      <c r="L108"/>
    </row>
    <row r="109" spans="1:13" x14ac:dyDescent="0.25">
      <c r="C109"/>
      <c r="E109"/>
      <c r="F109"/>
      <c r="G109"/>
      <c r="H109"/>
      <c r="I109"/>
      <c r="J109"/>
      <c r="K109"/>
      <c r="L109"/>
    </row>
    <row r="110" spans="1:13" x14ac:dyDescent="0.25">
      <c r="C110"/>
      <c r="E110"/>
      <c r="F110"/>
      <c r="G110"/>
      <c r="H110"/>
      <c r="I110"/>
      <c r="J110"/>
      <c r="K110"/>
      <c r="L110"/>
    </row>
    <row r="111" spans="1:13" x14ac:dyDescent="0.25">
      <c r="C111"/>
      <c r="E111"/>
      <c r="F111"/>
      <c r="G111"/>
      <c r="H111"/>
      <c r="I111"/>
      <c r="J111"/>
      <c r="K111"/>
      <c r="L111"/>
    </row>
    <row r="112" spans="1:13" x14ac:dyDescent="0.25">
      <c r="C112"/>
      <c r="E112"/>
      <c r="F112"/>
      <c r="G112"/>
      <c r="H112"/>
      <c r="I112"/>
      <c r="J112"/>
      <c r="K112"/>
      <c r="L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13" x14ac:dyDescent="0.25">
      <c r="C129"/>
      <c r="E129"/>
      <c r="G129"/>
      <c r="H129"/>
      <c r="I129"/>
      <c r="J129"/>
    </row>
    <row r="130" spans="1:13" x14ac:dyDescent="0.25">
      <c r="C130"/>
      <c r="E130"/>
      <c r="G130"/>
      <c r="H130"/>
      <c r="I130"/>
      <c r="J130"/>
    </row>
    <row r="131" spans="1:13" x14ac:dyDescent="0.25">
      <c r="A131" s="109" t="s">
        <v>352</v>
      </c>
      <c r="B131" t="s">
        <v>358</v>
      </c>
    </row>
    <row r="132" spans="1:13" s="113" customFormat="1" x14ac:dyDescent="0.25">
      <c r="A132" s="109" t="s">
        <v>492</v>
      </c>
      <c r="B132" t="s">
        <v>358</v>
      </c>
      <c r="C132"/>
      <c r="D132"/>
      <c r="E132"/>
      <c r="F132" s="111"/>
      <c r="G132"/>
      <c r="H132"/>
      <c r="I132"/>
      <c r="J132"/>
      <c r="K132" s="222"/>
      <c r="L132" s="222"/>
      <c r="M132"/>
    </row>
    <row r="133" spans="1:13" x14ac:dyDescent="0.25">
      <c r="C133"/>
      <c r="E133"/>
      <c r="G133"/>
      <c r="H133"/>
      <c r="I133"/>
      <c r="J133"/>
    </row>
    <row r="134" spans="1:13" ht="65" x14ac:dyDescent="0.3">
      <c r="A134" s="112" t="s">
        <v>320</v>
      </c>
      <c r="B134" s="109" t="s">
        <v>519</v>
      </c>
      <c r="C134" s="113" t="s">
        <v>794</v>
      </c>
      <c r="D134" s="113" t="s">
        <v>1057</v>
      </c>
      <c r="E134" s="113" t="s">
        <v>1058</v>
      </c>
      <c r="F134" s="113" t="s">
        <v>797</v>
      </c>
      <c r="G134" s="113" t="s">
        <v>766</v>
      </c>
      <c r="H134" s="113" t="s">
        <v>488</v>
      </c>
      <c r="I134" s="113" t="s">
        <v>489</v>
      </c>
      <c r="J134"/>
      <c r="K134"/>
      <c r="L134"/>
    </row>
    <row r="135" spans="1:13" x14ac:dyDescent="0.25">
      <c r="A135" t="s">
        <v>556</v>
      </c>
      <c r="B135" t="s">
        <v>790</v>
      </c>
      <c r="C135" s="221">
        <v>11625</v>
      </c>
      <c r="D135" s="221">
        <v>0</v>
      </c>
      <c r="E135" s="221">
        <v>0</v>
      </c>
      <c r="F135" s="221">
        <v>11625</v>
      </c>
      <c r="G135" s="221">
        <v>5812.5</v>
      </c>
      <c r="H135" s="221">
        <v>0.375</v>
      </c>
      <c r="I135" s="221">
        <v>0.625</v>
      </c>
      <c r="J135"/>
      <c r="K135"/>
      <c r="L135"/>
    </row>
    <row r="136" spans="1:13" x14ac:dyDescent="0.25">
      <c r="A136" t="s">
        <v>791</v>
      </c>
      <c r="B136" t="s">
        <v>1079</v>
      </c>
      <c r="C136" s="221">
        <v>94460</v>
      </c>
      <c r="D136" s="221">
        <v>0</v>
      </c>
      <c r="E136" s="221">
        <v>0</v>
      </c>
      <c r="F136" s="221">
        <v>46500</v>
      </c>
      <c r="G136" s="221">
        <v>188920</v>
      </c>
      <c r="H136" s="221">
        <v>1.5</v>
      </c>
      <c r="I136" s="221">
        <v>2.5</v>
      </c>
      <c r="J136"/>
      <c r="K136"/>
      <c r="L136"/>
    </row>
    <row r="137" spans="1:13" x14ac:dyDescent="0.25">
      <c r="A137" t="s">
        <v>968</v>
      </c>
      <c r="B137" t="s">
        <v>790</v>
      </c>
      <c r="C137" s="221">
        <v>46500</v>
      </c>
      <c r="D137" s="221">
        <v>0</v>
      </c>
      <c r="E137" s="221">
        <v>0</v>
      </c>
      <c r="F137" s="221">
        <v>46500</v>
      </c>
      <c r="G137" s="221">
        <v>93000</v>
      </c>
      <c r="H137" s="221">
        <v>1.5</v>
      </c>
      <c r="I137" s="221">
        <v>2.5</v>
      </c>
      <c r="J137"/>
      <c r="K137"/>
      <c r="L137"/>
    </row>
    <row r="138" spans="1:13" x14ac:dyDescent="0.25">
      <c r="A138" t="s">
        <v>1025</v>
      </c>
      <c r="B138" t="s">
        <v>956</v>
      </c>
      <c r="C138" s="221">
        <v>69750</v>
      </c>
      <c r="D138" s="221">
        <v>0</v>
      </c>
      <c r="E138" s="221">
        <v>0</v>
      </c>
      <c r="F138" s="221">
        <v>69750</v>
      </c>
      <c r="G138" s="221">
        <v>20925</v>
      </c>
      <c r="H138" s="221">
        <v>0.22499999999999998</v>
      </c>
      <c r="I138" s="221">
        <v>0.375</v>
      </c>
      <c r="J138"/>
      <c r="K138"/>
      <c r="L138"/>
    </row>
    <row r="139" spans="1:13" x14ac:dyDescent="0.25">
      <c r="A139" t="s">
        <v>1027</v>
      </c>
      <c r="B139" t="s">
        <v>790</v>
      </c>
      <c r="C139" s="221">
        <v>69750</v>
      </c>
      <c r="D139" s="221">
        <v>0</v>
      </c>
      <c r="E139" s="221">
        <v>0</v>
      </c>
      <c r="F139" s="221">
        <v>69750</v>
      </c>
      <c r="G139" s="221">
        <v>20925</v>
      </c>
      <c r="H139" s="221">
        <v>0.22499999999999998</v>
      </c>
      <c r="I139" s="221">
        <v>0.375</v>
      </c>
      <c r="J139"/>
      <c r="K139"/>
      <c r="L139"/>
    </row>
    <row r="140" spans="1:13" x14ac:dyDescent="0.25">
      <c r="A140" t="s">
        <v>1029</v>
      </c>
      <c r="B140" t="s">
        <v>790</v>
      </c>
      <c r="C140" s="221">
        <v>46500.000000000007</v>
      </c>
      <c r="D140" s="221">
        <v>0</v>
      </c>
      <c r="E140" s="221">
        <v>0</v>
      </c>
      <c r="F140" s="221">
        <v>46500.000000000007</v>
      </c>
      <c r="G140" s="221">
        <v>46500.000000000007</v>
      </c>
      <c r="H140" s="221">
        <v>0.75</v>
      </c>
      <c r="I140" s="221">
        <v>1.25</v>
      </c>
      <c r="J140"/>
      <c r="K140"/>
      <c r="L140"/>
    </row>
    <row r="141" spans="1:13" x14ac:dyDescent="0.25">
      <c r="A141" t="s">
        <v>1031</v>
      </c>
      <c r="B141" t="s">
        <v>790</v>
      </c>
      <c r="C141" s="221">
        <v>30225.000000000004</v>
      </c>
      <c r="D141" s="221">
        <v>0</v>
      </c>
      <c r="E141" s="221">
        <v>0</v>
      </c>
      <c r="F141" s="221">
        <v>30225.000000000004</v>
      </c>
      <c r="G141" s="221">
        <v>45337.500000000007</v>
      </c>
      <c r="H141" s="221">
        <v>1.125</v>
      </c>
      <c r="I141" s="221">
        <v>1.875</v>
      </c>
      <c r="J141"/>
      <c r="K141"/>
      <c r="L141"/>
    </row>
    <row r="142" spans="1:13" x14ac:dyDescent="0.25">
      <c r="A142" t="s">
        <v>1032</v>
      </c>
      <c r="B142" t="s">
        <v>790</v>
      </c>
      <c r="C142" s="221">
        <v>55800.000000000007</v>
      </c>
      <c r="D142" s="221">
        <v>0</v>
      </c>
      <c r="E142" s="221">
        <v>0</v>
      </c>
      <c r="F142" s="221">
        <v>55800.000000000007</v>
      </c>
      <c r="G142" s="221">
        <v>55800.000000000007</v>
      </c>
      <c r="H142" s="221">
        <v>0.75</v>
      </c>
      <c r="I142" s="221">
        <v>1.25</v>
      </c>
      <c r="J142"/>
      <c r="K142"/>
      <c r="L142"/>
    </row>
    <row r="143" spans="1:13" x14ac:dyDescent="0.25">
      <c r="A143" t="s">
        <v>1033</v>
      </c>
      <c r="B143" t="s">
        <v>790</v>
      </c>
      <c r="C143" s="221">
        <v>46500.000000000007</v>
      </c>
      <c r="D143" s="221">
        <v>0</v>
      </c>
      <c r="E143" s="221">
        <v>0</v>
      </c>
      <c r="F143" s="221">
        <v>46500.000000000007</v>
      </c>
      <c r="G143" s="221">
        <v>23250.000000000004</v>
      </c>
      <c r="H143" s="221">
        <v>0.375</v>
      </c>
      <c r="I143" s="221">
        <v>0.625</v>
      </c>
      <c r="J143"/>
      <c r="K143"/>
      <c r="L143"/>
    </row>
    <row r="144" spans="1:13" x14ac:dyDescent="0.25">
      <c r="A144" t="s">
        <v>1034</v>
      </c>
      <c r="B144" t="s">
        <v>790</v>
      </c>
      <c r="C144" s="221">
        <v>11625.000000000002</v>
      </c>
      <c r="D144" s="221">
        <v>0</v>
      </c>
      <c r="E144" s="221">
        <v>0</v>
      </c>
      <c r="F144" s="221">
        <v>11625.000000000002</v>
      </c>
      <c r="G144" s="221">
        <v>5812.5000000000009</v>
      </c>
      <c r="H144" s="221">
        <v>0.375</v>
      </c>
      <c r="I144" s="221">
        <v>0.625</v>
      </c>
      <c r="J144"/>
      <c r="K144"/>
      <c r="L144"/>
    </row>
    <row r="145" spans="1:12" x14ac:dyDescent="0.25">
      <c r="A145" t="s">
        <v>1035</v>
      </c>
      <c r="B145" t="s">
        <v>790</v>
      </c>
      <c r="C145" s="221">
        <v>139500</v>
      </c>
      <c r="D145" s="221">
        <v>0</v>
      </c>
      <c r="E145" s="221">
        <v>0</v>
      </c>
      <c r="F145" s="221">
        <v>139500</v>
      </c>
      <c r="G145" s="221">
        <v>209250</v>
      </c>
      <c r="H145" s="221">
        <v>1.125</v>
      </c>
      <c r="I145" s="221">
        <v>1.875</v>
      </c>
      <c r="J145"/>
      <c r="K145"/>
      <c r="L145"/>
    </row>
    <row r="146" spans="1:12" x14ac:dyDescent="0.25">
      <c r="A146" t="s">
        <v>1036</v>
      </c>
      <c r="B146" t="s">
        <v>790</v>
      </c>
      <c r="C146" s="221">
        <v>97650</v>
      </c>
      <c r="D146" s="221">
        <v>0</v>
      </c>
      <c r="E146" s="221">
        <v>0</v>
      </c>
      <c r="F146" s="221">
        <v>97650</v>
      </c>
      <c r="G146" s="221">
        <v>97650</v>
      </c>
      <c r="H146" s="221">
        <v>0.75</v>
      </c>
      <c r="I146" s="221">
        <v>1.25</v>
      </c>
      <c r="J146"/>
      <c r="K146"/>
      <c r="L146"/>
    </row>
    <row r="147" spans="1:12" x14ac:dyDescent="0.25">
      <c r="A147" t="s">
        <v>1037</v>
      </c>
      <c r="B147" t="s">
        <v>790</v>
      </c>
      <c r="C147" s="221">
        <v>69750</v>
      </c>
      <c r="D147" s="221">
        <v>0</v>
      </c>
      <c r="E147" s="221">
        <v>0</v>
      </c>
      <c r="F147" s="221">
        <v>69750</v>
      </c>
      <c r="G147" s="221">
        <v>104625</v>
      </c>
      <c r="H147" s="221">
        <v>1.125</v>
      </c>
      <c r="I147" s="221">
        <v>1.875</v>
      </c>
      <c r="J147"/>
      <c r="K147"/>
      <c r="L147"/>
    </row>
    <row r="148" spans="1:12" x14ac:dyDescent="0.25">
      <c r="A148" t="s">
        <v>1038</v>
      </c>
      <c r="B148" t="s">
        <v>790</v>
      </c>
      <c r="C148" s="221">
        <v>23250.000000000004</v>
      </c>
      <c r="D148" s="221">
        <v>0</v>
      </c>
      <c r="E148" s="221">
        <v>0</v>
      </c>
      <c r="F148" s="221">
        <v>23250.000000000004</v>
      </c>
      <c r="G148" s="221">
        <v>69750.000000000015</v>
      </c>
      <c r="H148" s="221">
        <v>2.25</v>
      </c>
      <c r="I148" s="221">
        <v>3.75</v>
      </c>
      <c r="J148"/>
      <c r="K148"/>
      <c r="L148"/>
    </row>
    <row r="149" spans="1:12" x14ac:dyDescent="0.25">
      <c r="A149" t="s">
        <v>1039</v>
      </c>
      <c r="B149" t="s">
        <v>790</v>
      </c>
      <c r="C149" s="221">
        <v>76438.356164383586</v>
      </c>
      <c r="D149" s="221">
        <v>0</v>
      </c>
      <c r="E149" s="221">
        <v>0</v>
      </c>
      <c r="F149" s="221">
        <v>76438.356164383586</v>
      </c>
      <c r="G149" s="221">
        <v>152876.71232876717</v>
      </c>
      <c r="H149" s="221">
        <v>1.5</v>
      </c>
      <c r="I149" s="221">
        <v>2.5</v>
      </c>
      <c r="J149"/>
      <c r="K149"/>
      <c r="L149"/>
    </row>
    <row r="150" spans="1:12" x14ac:dyDescent="0.25">
      <c r="A150" t="s">
        <v>1040</v>
      </c>
      <c r="B150" t="s">
        <v>790</v>
      </c>
      <c r="C150" s="221">
        <v>137750</v>
      </c>
      <c r="D150" s="221">
        <v>0</v>
      </c>
      <c r="E150" s="221">
        <v>0</v>
      </c>
      <c r="F150" s="221">
        <v>116250</v>
      </c>
      <c r="G150" s="221">
        <v>413250</v>
      </c>
      <c r="H150" s="221">
        <v>2.25</v>
      </c>
      <c r="I150" s="221">
        <v>3.75</v>
      </c>
      <c r="J150"/>
      <c r="K150"/>
      <c r="L150"/>
    </row>
    <row r="151" spans="1:12" x14ac:dyDescent="0.25">
      <c r="A151" t="s">
        <v>1042</v>
      </c>
      <c r="B151" t="s">
        <v>790</v>
      </c>
      <c r="C151" s="221">
        <v>102300.00000000001</v>
      </c>
      <c r="D151" s="221">
        <v>0</v>
      </c>
      <c r="E151" s="221">
        <v>0</v>
      </c>
      <c r="F151" s="221">
        <v>102300.00000000001</v>
      </c>
      <c r="G151" s="221">
        <v>76725.000000000015</v>
      </c>
      <c r="H151" s="221">
        <v>0.5625</v>
      </c>
      <c r="I151" s="221">
        <v>0.9375</v>
      </c>
      <c r="J151"/>
      <c r="K151"/>
      <c r="L151"/>
    </row>
    <row r="152" spans="1:12" x14ac:dyDescent="0.25">
      <c r="A152" t="s">
        <v>1043</v>
      </c>
      <c r="B152" t="s">
        <v>790</v>
      </c>
      <c r="C152" s="221">
        <v>232500</v>
      </c>
      <c r="D152" s="221">
        <v>0</v>
      </c>
      <c r="E152" s="221">
        <v>0</v>
      </c>
      <c r="F152" s="221">
        <v>232500</v>
      </c>
      <c r="G152" s="221">
        <v>697500</v>
      </c>
      <c r="H152" s="221">
        <v>2.25</v>
      </c>
      <c r="I152" s="221">
        <v>3.75</v>
      </c>
      <c r="J152"/>
      <c r="K152"/>
      <c r="L152"/>
    </row>
    <row r="153" spans="1:12" x14ac:dyDescent="0.25">
      <c r="C153"/>
      <c r="E153"/>
      <c r="F153"/>
      <c r="G153"/>
      <c r="H153"/>
      <c r="I153"/>
      <c r="J153"/>
      <c r="K153"/>
      <c r="L153"/>
    </row>
    <row r="154" spans="1:12" x14ac:dyDescent="0.25">
      <c r="C154"/>
      <c r="E154"/>
      <c r="F154"/>
      <c r="G154"/>
      <c r="H154"/>
      <c r="I154"/>
      <c r="J154"/>
      <c r="K154"/>
      <c r="L154"/>
    </row>
    <row r="155" spans="1:12" x14ac:dyDescent="0.25">
      <c r="C155"/>
      <c r="E155"/>
      <c r="F155"/>
      <c r="G155"/>
      <c r="H155"/>
      <c r="I155"/>
      <c r="J155"/>
      <c r="K155"/>
      <c r="L155"/>
    </row>
    <row r="156" spans="1:12" x14ac:dyDescent="0.25">
      <c r="C156"/>
      <c r="E156"/>
      <c r="F156"/>
      <c r="G156"/>
      <c r="H156"/>
      <c r="I156"/>
      <c r="J156"/>
      <c r="K156"/>
      <c r="L156"/>
    </row>
    <row r="157" spans="1:12" x14ac:dyDescent="0.25">
      <c r="C157"/>
      <c r="E157"/>
      <c r="F157"/>
      <c r="G157"/>
      <c r="H157"/>
      <c r="I157"/>
      <c r="J157"/>
      <c r="K157"/>
      <c r="L157"/>
    </row>
    <row r="158" spans="1:12" x14ac:dyDescent="0.25">
      <c r="C158"/>
      <c r="E158"/>
      <c r="F158"/>
      <c r="G158"/>
      <c r="H158"/>
      <c r="I158"/>
      <c r="J158"/>
      <c r="K158"/>
      <c r="L158"/>
    </row>
    <row r="159" spans="1:12" x14ac:dyDescent="0.25">
      <c r="C159"/>
      <c r="E159"/>
      <c r="F159"/>
      <c r="G159"/>
      <c r="H159"/>
      <c r="I159"/>
      <c r="J159"/>
    </row>
    <row r="160" spans="1:12" x14ac:dyDescent="0.25">
      <c r="C160"/>
      <c r="E160"/>
      <c r="F160"/>
      <c r="G160"/>
      <c r="H160"/>
      <c r="I160"/>
      <c r="J160"/>
    </row>
    <row r="161" spans="1:13" x14ac:dyDescent="0.25">
      <c r="A161" s="109" t="s">
        <v>468</v>
      </c>
      <c r="B161" t="s">
        <v>1080</v>
      </c>
      <c r="D161" s="109" t="s">
        <v>468</v>
      </c>
      <c r="E161" t="s">
        <v>1080</v>
      </c>
      <c r="F161" s="114"/>
      <c r="G161" s="109" t="s">
        <v>468</v>
      </c>
      <c r="H161" t="s">
        <v>1080</v>
      </c>
      <c r="I161" s="114"/>
    </row>
    <row r="162" spans="1:13" s="113" customFormat="1" x14ac:dyDescent="0.25">
      <c r="A162" s="109" t="s">
        <v>490</v>
      </c>
      <c r="B162" t="s">
        <v>358</v>
      </c>
      <c r="C162"/>
      <c r="D162" s="109" t="s">
        <v>491</v>
      </c>
      <c r="E162" t="s">
        <v>358</v>
      </c>
      <c r="F162"/>
      <c r="G162" s="109" t="s">
        <v>492</v>
      </c>
      <c r="H162" t="s">
        <v>358</v>
      </c>
      <c r="I162"/>
      <c r="J162"/>
      <c r="K162" s="222"/>
      <c r="L162" s="222"/>
      <c r="M162"/>
    </row>
    <row r="163" spans="1:13" x14ac:dyDescent="0.25">
      <c r="C163"/>
      <c r="E163"/>
      <c r="F163"/>
      <c r="G163"/>
      <c r="H163"/>
      <c r="I163"/>
      <c r="J163"/>
    </row>
    <row r="164" spans="1:13" x14ac:dyDescent="0.25">
      <c r="A164" t="s">
        <v>537</v>
      </c>
      <c r="C164"/>
      <c r="D164" t="s">
        <v>537</v>
      </c>
      <c r="E164"/>
      <c r="F164"/>
      <c r="G164" t="s">
        <v>537</v>
      </c>
      <c r="H164"/>
      <c r="I164"/>
      <c r="J164"/>
      <c r="K164"/>
      <c r="L164"/>
    </row>
    <row r="165" spans="1:13" x14ac:dyDescent="0.25">
      <c r="A165" s="221">
        <v>6</v>
      </c>
      <c r="C165"/>
      <c r="D165" s="221">
        <v>5</v>
      </c>
      <c r="E165"/>
      <c r="F165"/>
      <c r="G165" s="221">
        <v>4</v>
      </c>
      <c r="H165"/>
      <c r="I165"/>
      <c r="J165"/>
      <c r="K165"/>
      <c r="L165"/>
    </row>
    <row r="166" spans="1:13" x14ac:dyDescent="0.25">
      <c r="C166"/>
      <c r="E166"/>
      <c r="F166"/>
      <c r="G166"/>
      <c r="H166"/>
      <c r="I166"/>
      <c r="J166"/>
      <c r="K166"/>
      <c r="L166"/>
    </row>
    <row r="167" spans="1:13" x14ac:dyDescent="0.25">
      <c r="C167"/>
      <c r="E167"/>
      <c r="F167"/>
      <c r="G167"/>
      <c r="H167"/>
      <c r="I167"/>
      <c r="J167"/>
      <c r="K167"/>
      <c r="L167"/>
    </row>
    <row r="168" spans="1:13" x14ac:dyDescent="0.25">
      <c r="C168"/>
      <c r="E168"/>
      <c r="F168"/>
      <c r="G168"/>
      <c r="H168"/>
      <c r="I168"/>
      <c r="J168"/>
      <c r="K168"/>
      <c r="L168"/>
    </row>
    <row r="169" spans="1:13" x14ac:dyDescent="0.25">
      <c r="C169"/>
      <c r="E169"/>
      <c r="F169"/>
      <c r="G169"/>
      <c r="H169"/>
      <c r="I169"/>
      <c r="J169"/>
      <c r="K169"/>
      <c r="L169"/>
    </row>
  </sheetData>
  <mergeCells count="1">
    <mergeCell ref="A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AB57"/>
  <sheetViews>
    <sheetView topLeftCell="L1" workbookViewId="0">
      <selection activeCell="L25" sqref="L25"/>
    </sheetView>
  </sheetViews>
  <sheetFormatPr defaultColWidth="9.1796875" defaultRowHeight="12.5" x14ac:dyDescent="0.25"/>
  <cols>
    <col min="1" max="4" width="9.81640625" style="124" customWidth="1"/>
    <col min="5" max="5" width="9.1796875" style="124"/>
    <col min="6" max="7" width="9.1796875" style="203"/>
    <col min="8" max="12" width="9.1796875" style="4"/>
    <col min="13" max="13" width="22.81640625" style="4" bestFit="1" customWidth="1"/>
    <col min="14" max="14" width="29.453125" style="4" bestFit="1" customWidth="1"/>
    <col min="15" max="15" width="34.81640625" style="4" bestFit="1" customWidth="1"/>
    <col min="16" max="16" width="9.1796875" style="4"/>
    <col min="17" max="17" width="15.1796875" style="4" bestFit="1" customWidth="1"/>
    <col min="18" max="27" width="9.1796875" style="4"/>
    <col min="28" max="28" width="14.81640625" style="4" bestFit="1" customWidth="1"/>
    <col min="29" max="16384" width="9.1796875" style="4"/>
  </cols>
  <sheetData>
    <row r="1" spans="3:17" s="203" customFormat="1" x14ac:dyDescent="0.25"/>
    <row r="2" spans="3:17" s="203" customFormat="1" x14ac:dyDescent="0.25">
      <c r="C2" s="3" t="s">
        <v>507</v>
      </c>
      <c r="D2" s="3"/>
      <c r="E2" s="3"/>
      <c r="F2" s="3"/>
    </row>
    <row r="3" spans="3:17" s="203" customFormat="1" x14ac:dyDescent="0.25">
      <c r="C3" s="16" t="s">
        <v>504</v>
      </c>
      <c r="D3" s="16"/>
      <c r="E3" s="16"/>
      <c r="F3" s="16"/>
    </row>
    <row r="4" spans="3:17" s="203" customFormat="1" x14ac:dyDescent="0.25">
      <c r="C4" s="17" t="s">
        <v>505</v>
      </c>
      <c r="D4" s="17"/>
      <c r="E4" s="17"/>
      <c r="F4" s="17"/>
    </row>
    <row r="5" spans="3:17" s="203" customFormat="1" ht="13" x14ac:dyDescent="0.3">
      <c r="C5" s="177" t="s">
        <v>513</v>
      </c>
    </row>
    <row r="6" spans="3:17" s="203" customFormat="1" ht="19.5" thickBot="1" x14ac:dyDescent="0.45">
      <c r="C6" s="5" t="s">
        <v>514</v>
      </c>
    </row>
    <row r="7" spans="3:17" s="203" customFormat="1" ht="13" thickTop="1" x14ac:dyDescent="0.25"/>
    <row r="8" spans="3:17" s="203" customFormat="1" x14ac:dyDescent="0.25"/>
    <row r="9" spans="3:17" s="203" customFormat="1" x14ac:dyDescent="0.25"/>
    <row r="10" spans="3:17" s="203" customFormat="1" x14ac:dyDescent="0.25"/>
    <row r="11" spans="3:17" s="203" customFormat="1" x14ac:dyDescent="0.25"/>
    <row r="12" spans="3:17" s="203" customFormat="1" x14ac:dyDescent="0.25"/>
    <row r="13" spans="3:17" s="203" customFormat="1" x14ac:dyDescent="0.25">
      <c r="J13" s="253"/>
      <c r="K13" s="253"/>
      <c r="L13" s="253"/>
      <c r="M13" s="253"/>
      <c r="N13" s="253"/>
      <c r="O13" s="253"/>
      <c r="P13" s="253"/>
    </row>
    <row r="14" spans="3:17" s="203" customFormat="1" x14ac:dyDescent="0.25">
      <c r="J14" s="253"/>
      <c r="K14" s="253"/>
      <c r="L14" s="253"/>
      <c r="M14" s="253"/>
      <c r="N14" s="253"/>
      <c r="O14" s="253"/>
      <c r="P14" s="253"/>
      <c r="Q14" s="253"/>
    </row>
    <row r="15" spans="3:17" x14ac:dyDescent="0.25">
      <c r="J15" s="253"/>
      <c r="K15" s="253"/>
      <c r="L15" s="253"/>
      <c r="M15" s="253"/>
      <c r="N15" s="253"/>
      <c r="O15" s="253"/>
      <c r="P15" s="253"/>
      <c r="Q15" s="253"/>
    </row>
    <row r="16" spans="3:17" x14ac:dyDescent="0.25">
      <c r="E16" s="124" t="s">
        <v>88</v>
      </c>
      <c r="G16" s="4" t="s">
        <v>487</v>
      </c>
      <c r="I16" s="4" t="s">
        <v>508</v>
      </c>
      <c r="J16" s="253"/>
      <c r="K16" s="253" t="s">
        <v>671</v>
      </c>
      <c r="L16" s="253"/>
      <c r="M16" s="253" t="s">
        <v>799</v>
      </c>
      <c r="N16" s="253" t="s">
        <v>801</v>
      </c>
      <c r="O16" s="253" t="s">
        <v>800</v>
      </c>
      <c r="P16" s="253"/>
      <c r="Q16" s="253"/>
    </row>
    <row r="17" spans="1:28" x14ac:dyDescent="0.25">
      <c r="G17" s="4"/>
      <c r="J17" s="253"/>
      <c r="K17" s="253"/>
      <c r="L17" s="253"/>
      <c r="M17" s="253"/>
      <c r="N17" s="253"/>
      <c r="O17" s="253"/>
      <c r="P17" s="253"/>
      <c r="Q17" s="253"/>
    </row>
    <row r="18" spans="1:28" x14ac:dyDescent="0.25">
      <c r="B18" s="17" t="s">
        <v>375</v>
      </c>
      <c r="C18" s="139"/>
      <c r="E18" s="17" t="s">
        <v>692</v>
      </c>
      <c r="G18" s="139" t="s">
        <v>353</v>
      </c>
      <c r="I18" s="139" t="s">
        <v>1</v>
      </c>
      <c r="J18" s="253"/>
      <c r="K18" s="139" t="s">
        <v>672</v>
      </c>
      <c r="L18" s="253"/>
      <c r="M18" s="139" t="s">
        <v>853</v>
      </c>
      <c r="N18" s="101">
        <v>5</v>
      </c>
      <c r="O18" s="253">
        <f>I45</f>
        <v>9.6999999999999993</v>
      </c>
      <c r="P18" s="253"/>
      <c r="Q18" s="253"/>
      <c r="R18" s="4" t="s">
        <v>972</v>
      </c>
      <c r="T18" s="4" t="s">
        <v>975</v>
      </c>
      <c r="U18" s="253" t="s">
        <v>1000</v>
      </c>
      <c r="AB18" s="4" t="s">
        <v>1068</v>
      </c>
    </row>
    <row r="19" spans="1:28" x14ac:dyDescent="0.25">
      <c r="B19" s="17" t="s">
        <v>374</v>
      </c>
      <c r="C19" s="139"/>
      <c r="E19" s="17" t="s">
        <v>693</v>
      </c>
      <c r="G19" s="139" t="s">
        <v>354</v>
      </c>
      <c r="I19" s="139" t="s">
        <v>2</v>
      </c>
      <c r="J19" s="253"/>
      <c r="K19" s="139" t="s">
        <v>673</v>
      </c>
      <c r="L19" s="253"/>
      <c r="M19" s="139" t="s">
        <v>854</v>
      </c>
      <c r="N19" s="101">
        <v>5</v>
      </c>
      <c r="O19" s="253">
        <f>I46</f>
        <v>7.7</v>
      </c>
      <c r="P19" s="253"/>
      <c r="Q19" s="253"/>
      <c r="R19" s="4" t="s">
        <v>976</v>
      </c>
      <c r="T19" s="4" t="s">
        <v>975</v>
      </c>
      <c r="U19" s="4" t="s">
        <v>1001</v>
      </c>
      <c r="AB19" s="4" t="s">
        <v>1072</v>
      </c>
    </row>
    <row r="20" spans="1:28" x14ac:dyDescent="0.25">
      <c r="G20" s="139" t="s">
        <v>355</v>
      </c>
      <c r="I20" s="139" t="s">
        <v>3</v>
      </c>
      <c r="J20" s="253"/>
      <c r="K20" s="139" t="s">
        <v>798</v>
      </c>
      <c r="L20" s="253"/>
      <c r="M20" s="139" t="s">
        <v>855</v>
      </c>
      <c r="N20" s="101">
        <v>5</v>
      </c>
      <c r="O20" s="253">
        <f>I47</f>
        <v>17</v>
      </c>
      <c r="P20" s="253"/>
      <c r="Q20" s="253"/>
      <c r="R20" s="4" t="s">
        <v>974</v>
      </c>
      <c r="AB20" s="4" t="s">
        <v>1071</v>
      </c>
    </row>
    <row r="21" spans="1:28" x14ac:dyDescent="0.25">
      <c r="I21" s="139" t="s">
        <v>4</v>
      </c>
      <c r="J21" s="253"/>
      <c r="K21" s="139" t="s">
        <v>674</v>
      </c>
      <c r="L21" s="253"/>
      <c r="M21" s="139" t="s">
        <v>856</v>
      </c>
      <c r="N21" s="101">
        <v>5</v>
      </c>
      <c r="O21" s="253">
        <f>I48</f>
        <v>8</v>
      </c>
      <c r="P21" s="253"/>
      <c r="Q21" s="253"/>
      <c r="R21" s="4" t="s">
        <v>977</v>
      </c>
      <c r="T21" s="4" t="s">
        <v>978</v>
      </c>
      <c r="U21" s="4" t="s">
        <v>1002</v>
      </c>
      <c r="AB21" s="4" t="s">
        <v>1073</v>
      </c>
    </row>
    <row r="22" spans="1:28" x14ac:dyDescent="0.25">
      <c r="I22" s="139" t="s">
        <v>5</v>
      </c>
      <c r="M22" s="139" t="s">
        <v>857</v>
      </c>
      <c r="N22" s="101">
        <v>5</v>
      </c>
      <c r="O22" s="253">
        <f>I50</f>
        <v>7</v>
      </c>
      <c r="R22" s="4" t="s">
        <v>973</v>
      </c>
      <c r="T22" s="4" t="s">
        <v>978</v>
      </c>
      <c r="U22" s="4" t="s">
        <v>1003</v>
      </c>
    </row>
    <row r="23" spans="1:28" x14ac:dyDescent="0.25">
      <c r="I23" s="139" t="s">
        <v>6</v>
      </c>
      <c r="M23" s="139" t="s">
        <v>836</v>
      </c>
      <c r="N23" s="101">
        <v>5</v>
      </c>
      <c r="O23" s="253">
        <f>I51</f>
        <v>12</v>
      </c>
      <c r="R23" s="4" t="s">
        <v>975</v>
      </c>
    </row>
    <row r="24" spans="1:28" x14ac:dyDescent="0.25">
      <c r="I24" s="139" t="s">
        <v>7</v>
      </c>
      <c r="M24" s="139" t="s">
        <v>858</v>
      </c>
      <c r="N24" s="101">
        <v>5</v>
      </c>
      <c r="O24" s="253">
        <f>I52</f>
        <v>15</v>
      </c>
      <c r="R24" s="4" t="s">
        <v>979</v>
      </c>
      <c r="U24" s="4" t="str">
        <f>IF(Inputs!$D$12="WA",U18,U21)</f>
        <v>Darwin Katherine Interconnected System</v>
      </c>
    </row>
    <row r="25" spans="1:28" x14ac:dyDescent="0.25">
      <c r="I25" s="139" t="s">
        <v>11</v>
      </c>
      <c r="M25" s="139" t="s">
        <v>859</v>
      </c>
      <c r="N25" s="101">
        <v>5</v>
      </c>
      <c r="O25" s="253">
        <f>I55</f>
        <v>22</v>
      </c>
      <c r="R25" s="4" t="s">
        <v>978</v>
      </c>
      <c r="U25" s="253" t="str">
        <f>IF(Inputs!$D$12="WA",U19,U22)</f>
        <v>Other</v>
      </c>
    </row>
    <row r="26" spans="1:28" x14ac:dyDescent="0.25">
      <c r="I26" s="139" t="s">
        <v>8</v>
      </c>
      <c r="M26" s="139" t="s">
        <v>860</v>
      </c>
      <c r="N26" s="101">
        <v>5</v>
      </c>
      <c r="O26" s="253">
        <f>I56</f>
        <v>8</v>
      </c>
    </row>
    <row r="27" spans="1:28" x14ac:dyDescent="0.25">
      <c r="I27" s="139" t="s">
        <v>9</v>
      </c>
      <c r="M27" s="139" t="s">
        <v>283</v>
      </c>
      <c r="N27" s="101">
        <v>5</v>
      </c>
      <c r="O27" s="253">
        <f>I56</f>
        <v>8</v>
      </c>
    </row>
    <row r="28" spans="1:28" s="119" customFormat="1" x14ac:dyDescent="0.25">
      <c r="A28" s="124"/>
      <c r="B28" s="124"/>
      <c r="C28" s="124"/>
      <c r="D28" s="124"/>
      <c r="E28" s="124"/>
      <c r="F28" s="203"/>
      <c r="G28" s="203"/>
      <c r="I28" s="139" t="s">
        <v>10</v>
      </c>
      <c r="M28" s="139" t="s">
        <v>1069</v>
      </c>
      <c r="N28" s="101">
        <v>5</v>
      </c>
      <c r="O28" s="253" t="s">
        <v>882</v>
      </c>
      <c r="R28"/>
    </row>
    <row r="29" spans="1:28" s="119" customFormat="1" x14ac:dyDescent="0.25">
      <c r="I29" s="139" t="s">
        <v>12</v>
      </c>
    </row>
    <row r="30" spans="1:28" s="119" customFormat="1" x14ac:dyDescent="0.25">
      <c r="A30" s="124"/>
      <c r="B30" s="124"/>
      <c r="C30" s="124"/>
      <c r="D30" s="124"/>
      <c r="E30" s="124"/>
      <c r="F30" s="203"/>
    </row>
    <row r="31" spans="1:28" s="119" customFormat="1" x14ac:dyDescent="0.25">
      <c r="A31" s="124"/>
      <c r="B31" s="124"/>
      <c r="C31" s="124"/>
      <c r="D31" s="124"/>
      <c r="E31" s="124"/>
      <c r="F31" s="203"/>
    </row>
    <row r="32" spans="1:28" s="119" customFormat="1" x14ac:dyDescent="0.25">
      <c r="A32" s="124"/>
      <c r="B32" s="124"/>
      <c r="C32" s="124"/>
      <c r="D32" s="124"/>
      <c r="E32" s="124"/>
      <c r="F32" s="203"/>
    </row>
    <row r="33" spans="1:15" s="119" customFormat="1" x14ac:dyDescent="0.25">
      <c r="A33" s="124"/>
      <c r="B33" s="124"/>
      <c r="C33" s="124"/>
      <c r="D33" s="124"/>
      <c r="E33" s="124"/>
      <c r="F33" s="203"/>
    </row>
    <row r="44" spans="1:15" ht="14" x14ac:dyDescent="0.3">
      <c r="F44" s="477" t="s">
        <v>802</v>
      </c>
      <c r="G44" s="477" t="s">
        <v>803</v>
      </c>
      <c r="H44" s="478" t="s">
        <v>804</v>
      </c>
      <c r="I44" s="478" t="s">
        <v>805</v>
      </c>
      <c r="J44" s="478" t="s">
        <v>806</v>
      </c>
      <c r="K44" s="478" t="s">
        <v>807</v>
      </c>
      <c r="L44" s="478" t="s">
        <v>808</v>
      </c>
      <c r="M44" s="478" t="s">
        <v>809</v>
      </c>
      <c r="N44" s="478" t="s">
        <v>810</v>
      </c>
      <c r="O44" s="479"/>
    </row>
    <row r="45" spans="1:15" x14ac:dyDescent="0.25">
      <c r="F45" s="480" t="s">
        <v>811</v>
      </c>
      <c r="G45" s="480" t="s">
        <v>812</v>
      </c>
      <c r="H45" s="481" t="s">
        <v>813</v>
      </c>
      <c r="I45" s="481">
        <f>AVERAGE(7.4,12)</f>
        <v>9.6999999999999993</v>
      </c>
      <c r="J45" s="482">
        <v>0.3</v>
      </c>
      <c r="K45" s="481" t="s">
        <v>814</v>
      </c>
      <c r="L45" s="483"/>
      <c r="M45" s="481" t="s">
        <v>815</v>
      </c>
      <c r="N45" s="484">
        <v>3900</v>
      </c>
      <c r="O45" s="479" t="s">
        <v>816</v>
      </c>
    </row>
    <row r="46" spans="1:15" x14ac:dyDescent="0.25">
      <c r="F46" s="480" t="s">
        <v>811</v>
      </c>
      <c r="G46" s="480" t="s">
        <v>817</v>
      </c>
      <c r="H46" s="481" t="s">
        <v>818</v>
      </c>
      <c r="I46" s="481">
        <f>AVERAGE(7.4,8)</f>
        <v>7.7</v>
      </c>
      <c r="J46" s="482">
        <v>0.5</v>
      </c>
      <c r="K46" s="483"/>
      <c r="L46" s="483"/>
      <c r="M46" s="481">
        <v>450</v>
      </c>
      <c r="N46" s="481" t="s">
        <v>819</v>
      </c>
      <c r="O46" s="479" t="s">
        <v>816</v>
      </c>
    </row>
    <row r="47" spans="1:15" x14ac:dyDescent="0.25">
      <c r="F47" s="480" t="s">
        <v>811</v>
      </c>
      <c r="G47" s="480" t="s">
        <v>820</v>
      </c>
      <c r="H47" s="481" t="s">
        <v>821</v>
      </c>
      <c r="I47" s="481">
        <f>AVERAGE(16,18)</f>
        <v>17</v>
      </c>
      <c r="J47" s="482">
        <v>0.1</v>
      </c>
      <c r="K47" s="483"/>
      <c r="L47" s="483"/>
      <c r="M47" s="481" t="s">
        <v>822</v>
      </c>
      <c r="N47" s="481" t="s">
        <v>823</v>
      </c>
      <c r="O47" s="479" t="s">
        <v>816</v>
      </c>
    </row>
    <row r="48" spans="1:15" x14ac:dyDescent="0.25">
      <c r="F48" s="480" t="s">
        <v>811</v>
      </c>
      <c r="G48" s="480" t="s">
        <v>824</v>
      </c>
      <c r="H48" s="485" t="s">
        <v>825</v>
      </c>
      <c r="I48" s="481">
        <f>AVERAGE(3,13)</f>
        <v>8</v>
      </c>
      <c r="J48" s="482">
        <v>0.5</v>
      </c>
      <c r="K48" s="481" t="s">
        <v>826</v>
      </c>
      <c r="L48" s="483"/>
      <c r="M48" s="481" t="s">
        <v>827</v>
      </c>
      <c r="N48" s="484" t="s">
        <v>828</v>
      </c>
      <c r="O48" s="479" t="s">
        <v>829</v>
      </c>
    </row>
    <row r="49" spans="6:15" x14ac:dyDescent="0.25">
      <c r="F49" s="480" t="s">
        <v>811</v>
      </c>
      <c r="G49" s="480" t="s">
        <v>830</v>
      </c>
      <c r="H49" s="483"/>
      <c r="I49" s="481"/>
      <c r="J49" s="483"/>
      <c r="K49" s="483"/>
      <c r="L49" s="483"/>
      <c r="M49" s="483"/>
      <c r="N49" s="483"/>
      <c r="O49" s="479"/>
    </row>
    <row r="50" spans="6:15" x14ac:dyDescent="0.25">
      <c r="F50" s="480" t="s">
        <v>811</v>
      </c>
      <c r="G50" s="480" t="s">
        <v>831</v>
      </c>
      <c r="H50" s="481" t="s">
        <v>832</v>
      </c>
      <c r="I50" s="481">
        <f>AVERAGE(6,8)</f>
        <v>7</v>
      </c>
      <c r="J50" s="481" t="s">
        <v>833</v>
      </c>
      <c r="K50" s="481" t="s">
        <v>834</v>
      </c>
      <c r="L50" s="483"/>
      <c r="M50" s="483"/>
      <c r="N50" s="481" t="s">
        <v>835</v>
      </c>
      <c r="O50" s="479" t="s">
        <v>829</v>
      </c>
    </row>
    <row r="51" spans="6:15" x14ac:dyDescent="0.25">
      <c r="F51" s="480" t="s">
        <v>811</v>
      </c>
      <c r="G51" s="480" t="s">
        <v>836</v>
      </c>
      <c r="H51" s="481">
        <v>12</v>
      </c>
      <c r="I51" s="481">
        <v>12</v>
      </c>
      <c r="J51" s="483"/>
      <c r="K51" s="483"/>
      <c r="L51" s="483"/>
      <c r="M51" s="483"/>
      <c r="N51" s="483"/>
      <c r="O51" s="479" t="s">
        <v>837</v>
      </c>
    </row>
    <row r="52" spans="6:15" x14ac:dyDescent="0.25">
      <c r="F52" s="480" t="s">
        <v>811</v>
      </c>
      <c r="G52" s="480" t="s">
        <v>838</v>
      </c>
      <c r="H52" s="483">
        <v>14.6</v>
      </c>
      <c r="I52" s="481">
        <v>15</v>
      </c>
      <c r="J52" s="482">
        <v>0.2</v>
      </c>
      <c r="K52" s="483"/>
      <c r="L52" s="483"/>
      <c r="M52" s="481" t="s">
        <v>839</v>
      </c>
      <c r="N52" s="481" t="s">
        <v>840</v>
      </c>
      <c r="O52" s="479" t="s">
        <v>841</v>
      </c>
    </row>
    <row r="53" spans="6:15" x14ac:dyDescent="0.25">
      <c r="F53" s="480" t="s">
        <v>811</v>
      </c>
      <c r="G53" s="480" t="s">
        <v>842</v>
      </c>
      <c r="H53" s="483"/>
      <c r="I53" s="481"/>
      <c r="J53" s="483"/>
      <c r="K53" s="483"/>
      <c r="L53" s="483"/>
      <c r="M53" s="483"/>
      <c r="N53" s="483"/>
      <c r="O53" s="479"/>
    </row>
    <row r="54" spans="6:15" x14ac:dyDescent="0.25">
      <c r="F54" s="480" t="s">
        <v>811</v>
      </c>
      <c r="G54" s="480" t="s">
        <v>843</v>
      </c>
      <c r="H54" s="483"/>
      <c r="I54" s="481"/>
      <c r="J54" s="483"/>
      <c r="K54" s="483"/>
      <c r="L54" s="483"/>
      <c r="M54" s="483"/>
      <c r="N54" s="483"/>
      <c r="O54" s="479"/>
    </row>
    <row r="55" spans="6:15" x14ac:dyDescent="0.25">
      <c r="F55" s="480" t="s">
        <v>811</v>
      </c>
      <c r="G55" s="480" t="s">
        <v>844</v>
      </c>
      <c r="H55" s="481" t="s">
        <v>845</v>
      </c>
      <c r="I55" s="481">
        <v>22</v>
      </c>
      <c r="J55" s="481" t="s">
        <v>846</v>
      </c>
      <c r="K55" s="483"/>
      <c r="L55" s="483"/>
      <c r="M55" s="483">
        <v>700</v>
      </c>
      <c r="N55" s="484" t="s">
        <v>847</v>
      </c>
      <c r="O55" s="479" t="s">
        <v>848</v>
      </c>
    </row>
    <row r="56" spans="6:15" x14ac:dyDescent="0.25">
      <c r="F56" s="480" t="s">
        <v>849</v>
      </c>
      <c r="G56" s="480" t="s">
        <v>850</v>
      </c>
      <c r="H56" s="483">
        <v>8</v>
      </c>
      <c r="I56" s="481">
        <v>8</v>
      </c>
      <c r="J56" s="482">
        <v>0.15</v>
      </c>
      <c r="K56" s="481" t="s">
        <v>851</v>
      </c>
      <c r="L56" s="483"/>
      <c r="M56" s="483">
        <v>240</v>
      </c>
      <c r="N56" s="486">
        <v>1920</v>
      </c>
      <c r="O56" s="479" t="s">
        <v>829</v>
      </c>
    </row>
    <row r="57" spans="6:15" x14ac:dyDescent="0.25">
      <c r="F57" s="480" t="s">
        <v>849</v>
      </c>
      <c r="G57" s="480" t="s">
        <v>283</v>
      </c>
      <c r="H57" s="483">
        <v>3</v>
      </c>
      <c r="I57" s="481">
        <v>3</v>
      </c>
      <c r="J57" s="482"/>
      <c r="K57" s="481"/>
      <c r="L57" s="483"/>
      <c r="M57" s="483"/>
      <c r="N57" s="486"/>
      <c r="O57" s="479" t="s">
        <v>852</v>
      </c>
    </row>
  </sheetData>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B1:P192"/>
  <sheetViews>
    <sheetView topLeftCell="A151" workbookViewId="0">
      <selection activeCell="L25" sqref="L25"/>
    </sheetView>
  </sheetViews>
  <sheetFormatPr defaultColWidth="9.1796875" defaultRowHeight="12.5" x14ac:dyDescent="0.25"/>
  <cols>
    <col min="1" max="1" width="9.1796875" style="1"/>
    <col min="2" max="3" width="4.26953125" style="1" customWidth="1"/>
    <col min="4" max="4" width="8.453125" style="1" customWidth="1"/>
    <col min="5" max="5" width="39.1796875" style="1" customWidth="1"/>
    <col min="6" max="6" width="62.54296875" style="1" customWidth="1"/>
    <col min="7" max="7" width="7.81640625" style="1" bestFit="1" customWidth="1"/>
    <col min="8" max="8" width="7.7265625" style="1" bestFit="1" customWidth="1"/>
    <col min="9" max="9" width="9" style="1" bestFit="1" customWidth="1"/>
    <col min="10" max="10" width="7.453125" style="1" bestFit="1" customWidth="1"/>
    <col min="11" max="11" width="4.54296875" style="1" bestFit="1" customWidth="1"/>
    <col min="12" max="12" width="6.54296875" style="1" bestFit="1" customWidth="1"/>
    <col min="13" max="13" width="20.453125" style="1" customWidth="1"/>
    <col min="14" max="14" width="49" style="1" bestFit="1" customWidth="1"/>
    <col min="15" max="16384" width="9.1796875" style="1"/>
  </cols>
  <sheetData>
    <row r="1" spans="3:16" ht="13" thickBot="1" x14ac:dyDescent="0.3"/>
    <row r="2" spans="3:16" ht="18.5" thickBot="1" x14ac:dyDescent="0.45">
      <c r="C2" s="760" t="s">
        <v>527</v>
      </c>
      <c r="D2" s="761"/>
      <c r="E2" s="761"/>
      <c r="F2" s="761"/>
      <c r="G2" s="761"/>
      <c r="H2" s="761"/>
      <c r="I2" s="761"/>
      <c r="J2" s="761"/>
      <c r="K2" s="761"/>
      <c r="L2" s="761"/>
      <c r="M2" s="762"/>
      <c r="N2" s="19"/>
      <c r="O2" s="19"/>
      <c r="P2" s="19"/>
    </row>
    <row r="4" spans="3:16" x14ac:dyDescent="0.25">
      <c r="C4" s="1" t="s">
        <v>522</v>
      </c>
    </row>
    <row r="5" spans="3:16" x14ac:dyDescent="0.25">
      <c r="C5" s="1" t="s">
        <v>523</v>
      </c>
    </row>
    <row r="7" spans="3:16" x14ac:dyDescent="0.25">
      <c r="C7" s="1" t="s">
        <v>524</v>
      </c>
    </row>
    <row r="8" spans="3:16" x14ac:dyDescent="0.25">
      <c r="D8" s="3" t="s">
        <v>525</v>
      </c>
      <c r="E8" s="3"/>
      <c r="F8" s="1" t="s">
        <v>526</v>
      </c>
      <c r="G8" s="3">
        <f>AVERAGE(38,39.7)</f>
        <v>38.85</v>
      </c>
      <c r="H8" s="3" t="s">
        <v>347</v>
      </c>
    </row>
    <row r="11" spans="3:16" ht="14.5" thickBot="1" x14ac:dyDescent="0.35">
      <c r="C11" s="19"/>
      <c r="D11" s="19"/>
      <c r="E11" s="19"/>
      <c r="F11" s="19"/>
      <c r="G11" s="19"/>
      <c r="H11" s="19"/>
      <c r="I11" s="19"/>
      <c r="J11" s="19"/>
      <c r="K11" s="19"/>
      <c r="L11" s="19"/>
      <c r="M11" s="19"/>
      <c r="N11" s="19"/>
      <c r="O11" s="19"/>
      <c r="P11" s="19"/>
    </row>
    <row r="12" spans="3:16" ht="18.5" thickBot="1" x14ac:dyDescent="0.45">
      <c r="C12" s="760" t="s">
        <v>107</v>
      </c>
      <c r="D12" s="761"/>
      <c r="E12" s="761"/>
      <c r="F12" s="761"/>
      <c r="G12" s="761"/>
      <c r="H12" s="761"/>
      <c r="I12" s="761"/>
      <c r="J12" s="761"/>
      <c r="K12" s="761"/>
      <c r="L12" s="761"/>
      <c r="M12" s="762"/>
      <c r="N12" s="19"/>
      <c r="O12" s="19"/>
      <c r="P12" s="19"/>
    </row>
    <row r="13" spans="3:16" ht="14" x14ac:dyDescent="0.3">
      <c r="C13" s="19"/>
      <c r="D13" s="19"/>
      <c r="E13" s="19"/>
      <c r="F13" s="19"/>
      <c r="G13" s="19"/>
      <c r="H13" s="19"/>
      <c r="I13" s="19"/>
      <c r="J13" s="19"/>
      <c r="K13" s="19"/>
      <c r="L13" s="19"/>
      <c r="M13" s="19"/>
      <c r="N13" s="19"/>
      <c r="O13" s="19"/>
      <c r="P13" s="19"/>
    </row>
    <row r="16" spans="3:16" ht="20" x14ac:dyDescent="0.25">
      <c r="D16" s="82" t="s">
        <v>261</v>
      </c>
      <c r="E16"/>
      <c r="F16"/>
      <c r="G16"/>
      <c r="H16"/>
      <c r="I16"/>
      <c r="J16"/>
      <c r="K16"/>
      <c r="L16"/>
    </row>
    <row r="17" spans="4:13" ht="13.5" thickBot="1" x14ac:dyDescent="0.3">
      <c r="D17" s="83"/>
      <c r="E17"/>
      <c r="F17"/>
      <c r="G17"/>
      <c r="H17"/>
      <c r="I17"/>
      <c r="J17"/>
      <c r="K17"/>
      <c r="L17"/>
    </row>
    <row r="18" spans="4:13" ht="13.5" thickTop="1" x14ac:dyDescent="0.25">
      <c r="D18" s="768" t="s">
        <v>108</v>
      </c>
      <c r="E18" s="768" t="s">
        <v>109</v>
      </c>
      <c r="F18" s="768"/>
      <c r="G18" s="768" t="s">
        <v>110</v>
      </c>
      <c r="H18" s="768"/>
      <c r="I18" s="768" t="s">
        <v>106</v>
      </c>
      <c r="J18" s="768"/>
      <c r="K18" s="768"/>
      <c r="L18" s="768"/>
    </row>
    <row r="19" spans="4:13" ht="13" x14ac:dyDescent="0.25">
      <c r="D19" s="775"/>
      <c r="E19" s="775"/>
      <c r="F19" s="775"/>
      <c r="G19" s="769" t="s">
        <v>105</v>
      </c>
      <c r="H19" s="769"/>
      <c r="I19" s="769" t="s">
        <v>262</v>
      </c>
      <c r="J19" s="769"/>
      <c r="K19" s="769"/>
      <c r="L19" s="769"/>
    </row>
    <row r="20" spans="4:13" ht="13.5" thickBot="1" x14ac:dyDescent="0.3">
      <c r="D20" s="775"/>
      <c r="E20" s="775"/>
      <c r="F20" s="775"/>
      <c r="G20" s="777"/>
      <c r="H20" s="777"/>
      <c r="I20" s="770" t="s">
        <v>263</v>
      </c>
      <c r="J20" s="770"/>
      <c r="K20" s="770"/>
      <c r="L20" s="770"/>
    </row>
    <row r="21" spans="4:13" ht="15.5" thickBot="1" x14ac:dyDescent="0.3">
      <c r="D21" s="776"/>
      <c r="E21" s="776"/>
      <c r="F21" s="776"/>
      <c r="G21" s="778"/>
      <c r="H21" s="778"/>
      <c r="I21" s="771" t="s">
        <v>264</v>
      </c>
      <c r="J21" s="771"/>
      <c r="K21" s="88" t="s">
        <v>265</v>
      </c>
      <c r="L21" s="88" t="s">
        <v>266</v>
      </c>
    </row>
    <row r="22" spans="4:13" ht="13.5" thickTop="1" x14ac:dyDescent="0.25">
      <c r="D22" s="89">
        <v>1</v>
      </c>
      <c r="E22" s="89" t="s">
        <v>267</v>
      </c>
      <c r="F22" s="772">
        <v>27</v>
      </c>
      <c r="G22" s="772"/>
      <c r="H22" s="773">
        <v>90</v>
      </c>
      <c r="I22" s="773"/>
      <c r="J22" s="773">
        <v>0.03</v>
      </c>
      <c r="K22" s="773"/>
      <c r="L22" s="89">
        <v>0.2</v>
      </c>
      <c r="M22" s="1" t="s">
        <v>994</v>
      </c>
    </row>
    <row r="23" spans="4:13" ht="13" x14ac:dyDescent="0.25">
      <c r="D23" s="89" t="s">
        <v>268</v>
      </c>
      <c r="E23" s="89" t="s">
        <v>269</v>
      </c>
      <c r="F23" s="774">
        <v>21</v>
      </c>
      <c r="G23" s="774"/>
      <c r="H23" s="774">
        <v>90</v>
      </c>
      <c r="I23" s="774"/>
      <c r="J23" s="774">
        <v>0.03</v>
      </c>
      <c r="K23" s="774"/>
      <c r="L23" s="89">
        <v>0.2</v>
      </c>
    </row>
    <row r="24" spans="4:13" ht="13" x14ac:dyDescent="0.25">
      <c r="D24" s="89" t="s">
        <v>270</v>
      </c>
      <c r="E24" s="89" t="s">
        <v>271</v>
      </c>
      <c r="F24" s="774">
        <v>29</v>
      </c>
      <c r="G24" s="774"/>
      <c r="H24" s="774">
        <v>90</v>
      </c>
      <c r="I24" s="774"/>
      <c r="J24" s="774">
        <v>0.03</v>
      </c>
      <c r="K24" s="774"/>
      <c r="L24" s="89">
        <v>0.2</v>
      </c>
    </row>
    <row r="25" spans="4:13" ht="13" x14ac:dyDescent="0.25">
      <c r="D25" s="89">
        <v>2</v>
      </c>
      <c r="E25" s="89" t="s">
        <v>272</v>
      </c>
      <c r="F25" s="774">
        <v>10.199999999999999</v>
      </c>
      <c r="G25" s="774"/>
      <c r="H25" s="774">
        <v>93.5</v>
      </c>
      <c r="I25" s="774"/>
      <c r="J25" s="774">
        <v>0.02</v>
      </c>
      <c r="K25" s="774"/>
      <c r="L25" s="89">
        <v>0.4</v>
      </c>
    </row>
    <row r="26" spans="4:13" ht="13" x14ac:dyDescent="0.25">
      <c r="D26" s="89">
        <v>3</v>
      </c>
      <c r="E26" s="89" t="s">
        <v>273</v>
      </c>
      <c r="F26" s="774">
        <v>30</v>
      </c>
      <c r="G26" s="774"/>
      <c r="H26" s="774">
        <v>91.8</v>
      </c>
      <c r="I26" s="774"/>
      <c r="J26" s="774">
        <v>0.02</v>
      </c>
      <c r="K26" s="774"/>
      <c r="L26" s="89">
        <v>0.2</v>
      </c>
    </row>
    <row r="27" spans="4:13" ht="13" x14ac:dyDescent="0.25">
      <c r="D27" s="89">
        <v>4</v>
      </c>
      <c r="E27" s="89" t="s">
        <v>274</v>
      </c>
      <c r="F27" s="774">
        <v>22.1</v>
      </c>
      <c r="G27" s="774"/>
      <c r="H27" s="774">
        <v>95</v>
      </c>
      <c r="I27" s="774"/>
      <c r="J27" s="774">
        <v>7.0000000000000007E-2</v>
      </c>
      <c r="K27" s="774"/>
      <c r="L27" s="89">
        <v>0.3</v>
      </c>
    </row>
    <row r="28" spans="4:13" ht="13" x14ac:dyDescent="0.25">
      <c r="D28" s="89">
        <v>5</v>
      </c>
      <c r="E28" s="89" t="s">
        <v>275</v>
      </c>
      <c r="F28" s="774">
        <v>27</v>
      </c>
      <c r="G28" s="774"/>
      <c r="H28" s="774">
        <v>107</v>
      </c>
      <c r="I28" s="774"/>
      <c r="J28" s="774">
        <v>0.04</v>
      </c>
      <c r="K28" s="774"/>
      <c r="L28" s="89">
        <v>0.2</v>
      </c>
    </row>
    <row r="29" spans="4:13" ht="13" x14ac:dyDescent="0.25">
      <c r="D29" s="89">
        <v>6</v>
      </c>
      <c r="E29" s="89" t="s">
        <v>276</v>
      </c>
      <c r="F29" s="774">
        <v>37.5</v>
      </c>
      <c r="G29" s="774"/>
      <c r="H29" s="774">
        <v>81.8</v>
      </c>
      <c r="I29" s="774"/>
      <c r="J29" s="774">
        <v>0.03</v>
      </c>
      <c r="K29" s="774"/>
      <c r="L29" s="89">
        <v>0.2</v>
      </c>
    </row>
    <row r="30" spans="4:13" ht="26" x14ac:dyDescent="0.25">
      <c r="D30" s="89">
        <v>7</v>
      </c>
      <c r="E30" s="89" t="s">
        <v>277</v>
      </c>
      <c r="F30" s="774">
        <v>22.1</v>
      </c>
      <c r="G30" s="774"/>
      <c r="H30" s="774">
        <v>95</v>
      </c>
      <c r="I30" s="774"/>
      <c r="J30" s="774">
        <v>7.0000000000000007E-2</v>
      </c>
      <c r="K30" s="774"/>
      <c r="L30" s="89">
        <v>0.3</v>
      </c>
    </row>
    <row r="31" spans="4:13" ht="39" x14ac:dyDescent="0.25">
      <c r="D31" s="89">
        <v>8</v>
      </c>
      <c r="E31" s="89" t="s">
        <v>278</v>
      </c>
      <c r="F31" s="774">
        <v>26.3</v>
      </c>
      <c r="G31" s="774"/>
      <c r="H31" s="774">
        <v>81.599999999999994</v>
      </c>
      <c r="I31" s="774"/>
      <c r="J31" s="774">
        <v>0.02</v>
      </c>
      <c r="K31" s="774"/>
      <c r="L31" s="89">
        <v>0.2</v>
      </c>
    </row>
    <row r="32" spans="4:13" ht="26" x14ac:dyDescent="0.25">
      <c r="D32" s="89">
        <v>9</v>
      </c>
      <c r="E32" s="89" t="s">
        <v>279</v>
      </c>
      <c r="F32" s="774">
        <v>10.5</v>
      </c>
      <c r="G32" s="774"/>
      <c r="H32" s="774">
        <v>87.1</v>
      </c>
      <c r="I32" s="774"/>
      <c r="J32" s="774">
        <v>0.7</v>
      </c>
      <c r="K32" s="774"/>
      <c r="L32" s="89">
        <v>1.1000000000000001</v>
      </c>
    </row>
    <row r="33" spans="4:12" ht="13" x14ac:dyDescent="0.25">
      <c r="D33" s="89">
        <v>10</v>
      </c>
      <c r="E33" s="89" t="s">
        <v>280</v>
      </c>
      <c r="F33" s="774">
        <v>16.2</v>
      </c>
      <c r="G33" s="774"/>
      <c r="H33" s="774">
        <v>0</v>
      </c>
      <c r="I33" s="774"/>
      <c r="J33" s="774">
        <v>0.1</v>
      </c>
      <c r="K33" s="774"/>
      <c r="L33" s="89">
        <v>1.2</v>
      </c>
    </row>
    <row r="34" spans="4:12" ht="13" x14ac:dyDescent="0.25">
      <c r="D34" s="89">
        <v>11</v>
      </c>
      <c r="E34" s="89" t="s">
        <v>281</v>
      </c>
      <c r="F34" s="774">
        <v>10.4</v>
      </c>
      <c r="G34" s="774"/>
      <c r="H34" s="774">
        <v>0</v>
      </c>
      <c r="I34" s="774"/>
      <c r="J34" s="774">
        <v>0.1</v>
      </c>
      <c r="K34" s="774"/>
      <c r="L34" s="89">
        <v>1.2</v>
      </c>
    </row>
    <row r="35" spans="4:12" ht="13" x14ac:dyDescent="0.25">
      <c r="D35" s="89">
        <v>12</v>
      </c>
      <c r="E35" s="89" t="s">
        <v>282</v>
      </c>
      <c r="F35" s="774">
        <v>12.4</v>
      </c>
      <c r="G35" s="774"/>
      <c r="H35" s="774">
        <v>0</v>
      </c>
      <c r="I35" s="774"/>
      <c r="J35" s="774">
        <v>7.0000000000000007E-2</v>
      </c>
      <c r="K35" s="774"/>
      <c r="L35" s="89">
        <v>0.6</v>
      </c>
    </row>
    <row r="36" spans="4:12" ht="13" x14ac:dyDescent="0.25">
      <c r="D36" s="89">
        <v>13</v>
      </c>
      <c r="E36" s="89" t="s">
        <v>283</v>
      </c>
      <c r="F36" s="774">
        <v>9.6</v>
      </c>
      <c r="G36" s="774"/>
      <c r="H36" s="774">
        <v>0</v>
      </c>
      <c r="I36" s="774"/>
      <c r="J36" s="774">
        <v>0.2</v>
      </c>
      <c r="K36" s="774"/>
      <c r="L36" s="89">
        <v>1.2</v>
      </c>
    </row>
    <row r="37" spans="4:12" ht="39" x14ac:dyDescent="0.25">
      <c r="D37" s="89">
        <v>14</v>
      </c>
      <c r="E37" s="89" t="s">
        <v>284</v>
      </c>
      <c r="F37" s="774">
        <v>12.2</v>
      </c>
      <c r="G37" s="774"/>
      <c r="H37" s="774">
        <v>0</v>
      </c>
      <c r="I37" s="774"/>
      <c r="J37" s="774">
        <v>0.7</v>
      </c>
      <c r="K37" s="774"/>
      <c r="L37" s="89">
        <v>1.1000000000000001</v>
      </c>
    </row>
    <row r="38" spans="4:12" ht="13" x14ac:dyDescent="0.25">
      <c r="D38" s="89">
        <v>15</v>
      </c>
      <c r="E38" s="89" t="s">
        <v>285</v>
      </c>
      <c r="F38" s="774">
        <v>31.1</v>
      </c>
      <c r="G38" s="774"/>
      <c r="H38" s="774">
        <v>0</v>
      </c>
      <c r="I38" s="774"/>
      <c r="J38" s="774">
        <v>4.8</v>
      </c>
      <c r="K38" s="774"/>
      <c r="L38" s="89">
        <v>1.1000000000000001</v>
      </c>
    </row>
    <row r="39" spans="4:12" ht="26.5" thickBot="1" x14ac:dyDescent="0.3">
      <c r="D39" s="90">
        <v>16</v>
      </c>
      <c r="E39" s="90" t="s">
        <v>286</v>
      </c>
      <c r="F39" s="780">
        <v>12.2</v>
      </c>
      <c r="G39" s="780"/>
      <c r="H39" s="779">
        <v>0</v>
      </c>
      <c r="I39" s="779"/>
      <c r="J39" s="779">
        <v>0.7</v>
      </c>
      <c r="K39" s="779"/>
      <c r="L39" s="90">
        <v>1.1000000000000001</v>
      </c>
    </row>
    <row r="40" spans="4:12" ht="13" thickTop="1" x14ac:dyDescent="0.25">
      <c r="D40" s="91" t="s">
        <v>287</v>
      </c>
      <c r="E40" s="91" t="s">
        <v>288</v>
      </c>
      <c r="F40"/>
      <c r="G40"/>
      <c r="H40"/>
      <c r="I40"/>
    </row>
    <row r="44" spans="4:12" ht="20" x14ac:dyDescent="0.25">
      <c r="D44" s="82" t="s">
        <v>289</v>
      </c>
      <c r="E44"/>
      <c r="F44"/>
      <c r="G44"/>
      <c r="H44"/>
      <c r="I44"/>
    </row>
    <row r="45" spans="4:12" ht="13.5" thickBot="1" x14ac:dyDescent="0.3">
      <c r="D45" s="83"/>
      <c r="E45"/>
      <c r="F45"/>
      <c r="G45"/>
      <c r="H45"/>
      <c r="I45"/>
    </row>
    <row r="46" spans="4:12" ht="13.5" thickTop="1" x14ac:dyDescent="0.25">
      <c r="D46" s="768" t="s">
        <v>108</v>
      </c>
      <c r="E46" s="768" t="s">
        <v>109</v>
      </c>
      <c r="F46" s="85" t="s">
        <v>110</v>
      </c>
      <c r="G46" s="768" t="s">
        <v>106</v>
      </c>
      <c r="H46" s="768"/>
      <c r="I46" s="768"/>
    </row>
    <row r="47" spans="4:12" ht="15" x14ac:dyDescent="0.25">
      <c r="D47" s="775"/>
      <c r="E47" s="775"/>
      <c r="F47" s="84" t="s">
        <v>290</v>
      </c>
      <c r="G47" s="769" t="s">
        <v>262</v>
      </c>
      <c r="H47" s="769"/>
      <c r="I47" s="769"/>
    </row>
    <row r="48" spans="4:12" ht="13.5" thickBot="1" x14ac:dyDescent="0.3">
      <c r="D48" s="775"/>
      <c r="E48" s="775"/>
      <c r="F48" s="86"/>
      <c r="G48" s="770" t="s">
        <v>263</v>
      </c>
      <c r="H48" s="770"/>
      <c r="I48" s="770"/>
    </row>
    <row r="49" spans="4:10" ht="15.5" thickBot="1" x14ac:dyDescent="0.3">
      <c r="D49" s="776"/>
      <c r="E49" s="776"/>
      <c r="F49" s="87"/>
      <c r="G49" s="88" t="s">
        <v>264</v>
      </c>
      <c r="H49" s="88" t="s">
        <v>265</v>
      </c>
      <c r="I49" s="88" t="s">
        <v>266</v>
      </c>
    </row>
    <row r="50" spans="4:10" ht="16" thickTop="1" x14ac:dyDescent="0.25">
      <c r="D50" s="89">
        <v>17</v>
      </c>
      <c r="E50" s="89" t="s">
        <v>117</v>
      </c>
      <c r="F50" s="89" t="s">
        <v>291</v>
      </c>
      <c r="G50" s="89">
        <v>51.4</v>
      </c>
      <c r="H50" s="89">
        <v>0.1</v>
      </c>
      <c r="I50" s="89">
        <v>0.03</v>
      </c>
      <c r="J50" s="1" t="s">
        <v>993</v>
      </c>
    </row>
    <row r="51" spans="4:10" ht="15.5" x14ac:dyDescent="0.25">
      <c r="D51" s="89">
        <v>18</v>
      </c>
      <c r="E51" s="89" t="s">
        <v>121</v>
      </c>
      <c r="F51" s="89" t="s">
        <v>292</v>
      </c>
      <c r="G51" s="89">
        <v>51.4</v>
      </c>
      <c r="H51" s="89">
        <v>0.2</v>
      </c>
      <c r="I51" s="89">
        <v>0.03</v>
      </c>
    </row>
    <row r="52" spans="4:10" ht="15.5" x14ac:dyDescent="0.25">
      <c r="D52" s="89">
        <v>19</v>
      </c>
      <c r="E52" s="89" t="s">
        <v>123</v>
      </c>
      <c r="F52" s="89" t="s">
        <v>292</v>
      </c>
      <c r="G52" s="89">
        <v>51.9</v>
      </c>
      <c r="H52" s="89">
        <v>4.0999999999999996</v>
      </c>
      <c r="I52" s="89">
        <v>0.03</v>
      </c>
    </row>
    <row r="53" spans="4:10" ht="26" x14ac:dyDescent="0.25">
      <c r="D53" s="89">
        <v>20</v>
      </c>
      <c r="E53" s="89" t="s">
        <v>125</v>
      </c>
      <c r="F53" s="89" t="s">
        <v>291</v>
      </c>
      <c r="G53" s="89">
        <v>51.4</v>
      </c>
      <c r="H53" s="89">
        <v>0.1</v>
      </c>
      <c r="I53" s="89">
        <v>0.03</v>
      </c>
    </row>
    <row r="54" spans="4:10" ht="15.5" x14ac:dyDescent="0.25">
      <c r="D54" s="89">
        <v>21</v>
      </c>
      <c r="E54" s="89" t="s">
        <v>127</v>
      </c>
      <c r="F54" s="89" t="s">
        <v>291</v>
      </c>
      <c r="G54" s="89">
        <v>51.4</v>
      </c>
      <c r="H54" s="89">
        <v>0.1</v>
      </c>
      <c r="I54" s="89">
        <v>0.03</v>
      </c>
    </row>
    <row r="55" spans="4:10" ht="15.5" x14ac:dyDescent="0.25">
      <c r="D55" s="89">
        <v>22</v>
      </c>
      <c r="E55" s="89" t="s">
        <v>293</v>
      </c>
      <c r="F55" s="89" t="s">
        <v>294</v>
      </c>
      <c r="G55" s="89">
        <v>56.5</v>
      </c>
      <c r="H55" s="89">
        <v>0.03</v>
      </c>
      <c r="I55" s="89">
        <v>0.03</v>
      </c>
    </row>
    <row r="56" spans="4:10" ht="15.5" x14ac:dyDescent="0.25">
      <c r="D56" s="89">
        <v>23</v>
      </c>
      <c r="E56" s="89" t="s">
        <v>131</v>
      </c>
      <c r="F56" s="89" t="s">
        <v>295</v>
      </c>
      <c r="G56" s="89">
        <v>37</v>
      </c>
      <c r="H56" s="89">
        <v>0.03</v>
      </c>
      <c r="I56" s="89">
        <v>0.05</v>
      </c>
    </row>
    <row r="57" spans="4:10" ht="15.5" x14ac:dyDescent="0.25">
      <c r="D57" s="89">
        <v>24</v>
      </c>
      <c r="E57" s="89" t="s">
        <v>133</v>
      </c>
      <c r="F57" s="89" t="s">
        <v>296</v>
      </c>
      <c r="G57" s="89">
        <v>234</v>
      </c>
      <c r="H57" s="89">
        <v>0</v>
      </c>
      <c r="I57" s="89">
        <v>0.03</v>
      </c>
    </row>
    <row r="58" spans="4:10" ht="15.5" x14ac:dyDescent="0.25">
      <c r="D58" s="89">
        <v>25</v>
      </c>
      <c r="E58" s="89" t="s">
        <v>297</v>
      </c>
      <c r="F58" s="89" t="s">
        <v>298</v>
      </c>
      <c r="G58" s="89">
        <v>60.2</v>
      </c>
      <c r="H58" s="89">
        <v>0</v>
      </c>
      <c r="I58" s="89">
        <v>0.03</v>
      </c>
    </row>
    <row r="59" spans="4:10" ht="13" x14ac:dyDescent="0.25">
      <c r="D59" s="89">
        <v>26</v>
      </c>
      <c r="E59" s="89" t="s">
        <v>137</v>
      </c>
      <c r="F59" s="89" t="s">
        <v>299</v>
      </c>
      <c r="G59" s="89">
        <v>51.4</v>
      </c>
      <c r="H59" s="89">
        <v>0.1</v>
      </c>
      <c r="I59" s="89">
        <v>0.03</v>
      </c>
    </row>
    <row r="60" spans="4:10" ht="26" x14ac:dyDescent="0.25">
      <c r="D60" s="89">
        <v>27</v>
      </c>
      <c r="E60" s="89" t="s">
        <v>300</v>
      </c>
      <c r="F60" s="89" t="s">
        <v>291</v>
      </c>
      <c r="G60" s="89">
        <v>51.4</v>
      </c>
      <c r="H60" s="89">
        <v>0.1</v>
      </c>
      <c r="I60" s="89">
        <v>0.03</v>
      </c>
    </row>
    <row r="61" spans="4:10" ht="26" x14ac:dyDescent="0.25">
      <c r="D61" s="89">
        <v>28</v>
      </c>
      <c r="E61" s="89" t="s">
        <v>141</v>
      </c>
      <c r="F61" s="89" t="s">
        <v>292</v>
      </c>
      <c r="G61" s="89">
        <v>0</v>
      </c>
      <c r="H61" s="89">
        <v>4.8</v>
      </c>
      <c r="I61" s="89">
        <v>0.03</v>
      </c>
    </row>
    <row r="62" spans="4:10" ht="26" x14ac:dyDescent="0.25">
      <c r="D62" s="89">
        <v>29</v>
      </c>
      <c r="E62" s="89" t="s">
        <v>143</v>
      </c>
      <c r="F62" s="89" t="s">
        <v>292</v>
      </c>
      <c r="G62" s="89">
        <v>0</v>
      </c>
      <c r="H62" s="89">
        <v>4.8</v>
      </c>
      <c r="I62" s="89">
        <v>0.03</v>
      </c>
    </row>
    <row r="63" spans="4:10" ht="26.5" thickBot="1" x14ac:dyDescent="0.3">
      <c r="D63" s="90">
        <v>30</v>
      </c>
      <c r="E63" s="90" t="s">
        <v>301</v>
      </c>
      <c r="F63" s="90" t="s">
        <v>292</v>
      </c>
      <c r="G63" s="90">
        <v>0</v>
      </c>
      <c r="H63" s="90">
        <v>4.8</v>
      </c>
      <c r="I63" s="90">
        <v>0.03</v>
      </c>
    </row>
    <row r="64" spans="4:10" ht="13" thickTop="1" x14ac:dyDescent="0.25"/>
    <row r="67" spans="4:11" ht="20" x14ac:dyDescent="0.25">
      <c r="D67" s="82" t="s">
        <v>302</v>
      </c>
      <c r="E67"/>
      <c r="F67"/>
      <c r="G67"/>
      <c r="H67"/>
      <c r="I67"/>
      <c r="J67"/>
    </row>
    <row r="68" spans="4:11" ht="13.5" thickBot="1" x14ac:dyDescent="0.3">
      <c r="D68" s="83"/>
      <c r="E68"/>
      <c r="F68"/>
      <c r="G68"/>
      <c r="H68"/>
      <c r="I68"/>
      <c r="J68"/>
    </row>
    <row r="69" spans="4:11" ht="39.5" thickTop="1" x14ac:dyDescent="0.25">
      <c r="D69" s="768" t="s">
        <v>108</v>
      </c>
      <c r="E69" s="768"/>
      <c r="F69" s="768" t="s">
        <v>109</v>
      </c>
      <c r="G69" s="85" t="s">
        <v>110</v>
      </c>
      <c r="H69" s="768" t="s">
        <v>106</v>
      </c>
      <c r="I69" s="768"/>
      <c r="J69" s="768"/>
    </row>
    <row r="70" spans="4:11" ht="78" x14ac:dyDescent="0.25">
      <c r="D70" s="775"/>
      <c r="E70" s="775"/>
      <c r="F70" s="775"/>
      <c r="G70" s="84" t="s">
        <v>303</v>
      </c>
      <c r="H70" s="769" t="s">
        <v>262</v>
      </c>
      <c r="I70" s="769"/>
      <c r="J70" s="769"/>
    </row>
    <row r="71" spans="4:11" ht="25.5" customHeight="1" thickBot="1" x14ac:dyDescent="0.3">
      <c r="D71" s="775"/>
      <c r="E71" s="775"/>
      <c r="F71" s="775"/>
      <c r="G71" s="86"/>
      <c r="H71" s="770" t="s">
        <v>263</v>
      </c>
      <c r="I71" s="770"/>
      <c r="J71" s="770"/>
    </row>
    <row r="72" spans="4:11" ht="15.5" thickBot="1" x14ac:dyDescent="0.3">
      <c r="D72" s="776"/>
      <c r="E72" s="776"/>
      <c r="F72" s="776"/>
      <c r="G72" s="87"/>
      <c r="H72" s="88" t="s">
        <v>264</v>
      </c>
      <c r="I72" s="88" t="s">
        <v>265</v>
      </c>
      <c r="J72" s="88" t="s">
        <v>266</v>
      </c>
    </row>
    <row r="73" spans="4:11" ht="14" thickTop="1" thickBot="1" x14ac:dyDescent="0.3">
      <c r="D73" s="92">
        <v>31</v>
      </c>
      <c r="E73" s="783" t="s">
        <v>304</v>
      </c>
      <c r="F73" s="784"/>
      <c r="G73" s="93">
        <v>38.799999999999997</v>
      </c>
      <c r="H73" s="93">
        <v>13.9</v>
      </c>
      <c r="I73" s="93">
        <v>0</v>
      </c>
      <c r="J73" s="93">
        <v>0</v>
      </c>
    </row>
    <row r="74" spans="4:11" ht="13.5" thickBot="1" x14ac:dyDescent="0.3">
      <c r="D74" s="92">
        <v>32</v>
      </c>
      <c r="E74" s="781" t="s">
        <v>151</v>
      </c>
      <c r="F74" s="782"/>
      <c r="G74" s="93">
        <v>38.799999999999997</v>
      </c>
      <c r="H74" s="93">
        <v>3.5</v>
      </c>
      <c r="I74" s="93">
        <v>0</v>
      </c>
      <c r="J74" s="93">
        <v>0</v>
      </c>
    </row>
    <row r="75" spans="4:11" ht="13.5" thickBot="1" x14ac:dyDescent="0.3">
      <c r="D75" s="92">
        <v>33</v>
      </c>
      <c r="E75" s="781" t="s">
        <v>153</v>
      </c>
      <c r="F75" s="782"/>
      <c r="G75" s="93" t="s">
        <v>305</v>
      </c>
      <c r="H75" s="93">
        <v>69.599999999999994</v>
      </c>
      <c r="I75" s="93">
        <v>0.1</v>
      </c>
      <c r="J75" s="93">
        <v>0.2</v>
      </c>
    </row>
    <row r="76" spans="4:11" ht="13.5" thickBot="1" x14ac:dyDescent="0.3">
      <c r="D76" s="92">
        <v>34</v>
      </c>
      <c r="E76" s="781" t="s">
        <v>155</v>
      </c>
      <c r="F76" s="782"/>
      <c r="G76" s="93" t="s">
        <v>306</v>
      </c>
      <c r="H76" s="93">
        <v>61</v>
      </c>
      <c r="I76" s="93">
        <v>0.1</v>
      </c>
      <c r="J76" s="93">
        <v>0.2</v>
      </c>
    </row>
    <row r="77" spans="4:11" ht="13.5" thickBot="1" x14ac:dyDescent="0.3">
      <c r="D77" s="92">
        <v>35</v>
      </c>
      <c r="E77" s="781" t="s">
        <v>307</v>
      </c>
      <c r="F77" s="782"/>
      <c r="G77" s="93">
        <v>34.200000000000003</v>
      </c>
      <c r="H77" s="93">
        <v>67.400000000000006</v>
      </c>
      <c r="I77" s="93">
        <v>0.2</v>
      </c>
      <c r="J77" s="93">
        <v>0.2</v>
      </c>
    </row>
    <row r="78" spans="4:11" ht="13.5" thickBot="1" x14ac:dyDescent="0.3">
      <c r="D78" s="92">
        <v>36</v>
      </c>
      <c r="E78" s="781" t="s">
        <v>159</v>
      </c>
      <c r="F78" s="782"/>
      <c r="G78" s="93">
        <v>33.1</v>
      </c>
      <c r="H78" s="93">
        <v>67</v>
      </c>
      <c r="I78" s="93">
        <v>0.2</v>
      </c>
      <c r="J78" s="93">
        <v>0.2</v>
      </c>
      <c r="K78" s="1" t="s">
        <v>993</v>
      </c>
    </row>
    <row r="79" spans="4:11" ht="13.5" thickBot="1" x14ac:dyDescent="0.3">
      <c r="D79" s="92">
        <v>37</v>
      </c>
      <c r="E79" s="781" t="s">
        <v>161</v>
      </c>
      <c r="F79" s="782"/>
      <c r="G79" s="93">
        <v>37.5</v>
      </c>
      <c r="H79" s="93">
        <v>68.900000000000006</v>
      </c>
      <c r="I79" s="93">
        <v>0</v>
      </c>
      <c r="J79" s="93">
        <v>0.2</v>
      </c>
    </row>
    <row r="80" spans="4:11" ht="13.5" thickBot="1" x14ac:dyDescent="0.3">
      <c r="D80" s="92">
        <v>38</v>
      </c>
      <c r="E80" s="781" t="s">
        <v>163</v>
      </c>
      <c r="F80" s="782"/>
      <c r="G80" s="93">
        <v>36.799999999999997</v>
      </c>
      <c r="H80" s="93">
        <v>69.599999999999994</v>
      </c>
      <c r="I80" s="93">
        <v>0.02</v>
      </c>
      <c r="J80" s="93">
        <v>0.2</v>
      </c>
    </row>
    <row r="81" spans="4:11" ht="13.5" thickBot="1" x14ac:dyDescent="0.3">
      <c r="D81" s="92">
        <v>39</v>
      </c>
      <c r="E81" s="781" t="s">
        <v>165</v>
      </c>
      <c r="F81" s="782"/>
      <c r="G81" s="93">
        <v>37.299999999999997</v>
      </c>
      <c r="H81" s="93">
        <v>69.5</v>
      </c>
      <c r="I81" s="93">
        <v>0.03</v>
      </c>
      <c r="J81" s="93">
        <v>0.2</v>
      </c>
    </row>
    <row r="82" spans="4:11" ht="13.5" thickBot="1" x14ac:dyDescent="0.3">
      <c r="D82" s="92">
        <v>40</v>
      </c>
      <c r="E82" s="781" t="s">
        <v>308</v>
      </c>
      <c r="F82" s="782"/>
      <c r="G82" s="93">
        <v>38.6</v>
      </c>
      <c r="H82" s="93">
        <v>69.900000000000006</v>
      </c>
      <c r="I82" s="93">
        <v>0.1</v>
      </c>
      <c r="J82" s="93">
        <v>0.2</v>
      </c>
      <c r="K82" s="1" t="s">
        <v>993</v>
      </c>
    </row>
    <row r="83" spans="4:11" ht="13.5" thickBot="1" x14ac:dyDescent="0.3">
      <c r="D83" s="92">
        <v>41</v>
      </c>
      <c r="E83" s="798" t="s">
        <v>169</v>
      </c>
      <c r="F83" s="799"/>
      <c r="G83" s="96">
        <v>39.700000000000003</v>
      </c>
      <c r="H83" s="93">
        <v>73.599999999999994</v>
      </c>
      <c r="I83" s="93">
        <v>0.04</v>
      </c>
      <c r="J83" s="93">
        <v>0.2</v>
      </c>
      <c r="K83" s="1" t="s">
        <v>993</v>
      </c>
    </row>
    <row r="84" spans="4:11" ht="13.5" thickBot="1" x14ac:dyDescent="0.3">
      <c r="D84" s="92">
        <v>42</v>
      </c>
      <c r="E84" s="781" t="s">
        <v>171</v>
      </c>
      <c r="F84" s="782"/>
      <c r="G84" s="93">
        <v>34.4</v>
      </c>
      <c r="H84" s="93">
        <v>69.7</v>
      </c>
      <c r="I84" s="93">
        <v>0.02</v>
      </c>
      <c r="J84" s="93">
        <v>0.2</v>
      </c>
    </row>
    <row r="85" spans="4:11" ht="13.5" thickBot="1" x14ac:dyDescent="0.3">
      <c r="D85" s="92">
        <v>43</v>
      </c>
      <c r="E85" s="781" t="s">
        <v>173</v>
      </c>
      <c r="F85" s="782"/>
      <c r="G85" s="93">
        <v>34.4</v>
      </c>
      <c r="H85" s="93">
        <v>69.7</v>
      </c>
      <c r="I85" s="93">
        <v>0.02</v>
      </c>
      <c r="J85" s="93">
        <v>0.2</v>
      </c>
    </row>
    <row r="86" spans="4:11" ht="13.5" thickBot="1" x14ac:dyDescent="0.3">
      <c r="D86" s="92">
        <v>44</v>
      </c>
      <c r="E86" s="798" t="s">
        <v>309</v>
      </c>
      <c r="F86" s="799"/>
      <c r="G86" s="96">
        <v>25.7</v>
      </c>
      <c r="H86" s="93">
        <v>60.2</v>
      </c>
      <c r="I86" s="93">
        <v>0.2</v>
      </c>
      <c r="J86" s="93">
        <v>0.2</v>
      </c>
      <c r="K86" s="1" t="s">
        <v>993</v>
      </c>
    </row>
    <row r="87" spans="4:11" ht="13.5" thickBot="1" x14ac:dyDescent="0.3">
      <c r="D87" s="92">
        <v>45</v>
      </c>
      <c r="E87" s="781" t="s">
        <v>177</v>
      </c>
      <c r="F87" s="782"/>
      <c r="G87" s="93">
        <v>31.4</v>
      </c>
      <c r="H87" s="93">
        <v>69.8</v>
      </c>
      <c r="I87" s="93">
        <v>0</v>
      </c>
      <c r="J87" s="93">
        <v>0.01</v>
      </c>
    </row>
    <row r="88" spans="4:11" ht="13.5" thickBot="1" x14ac:dyDescent="0.3">
      <c r="D88" s="92">
        <v>46</v>
      </c>
      <c r="E88" s="781" t="s">
        <v>179</v>
      </c>
      <c r="F88" s="782"/>
      <c r="G88" s="93" t="s">
        <v>310</v>
      </c>
      <c r="H88" s="93">
        <v>92.6</v>
      </c>
      <c r="I88" s="93">
        <v>7.0000000000000007E-2</v>
      </c>
      <c r="J88" s="93">
        <v>0.2</v>
      </c>
    </row>
    <row r="89" spans="4:11" ht="13.5" thickBot="1" x14ac:dyDescent="0.3">
      <c r="D89" s="92">
        <v>47</v>
      </c>
      <c r="E89" s="781" t="s">
        <v>181</v>
      </c>
      <c r="F89" s="782"/>
      <c r="G89" s="93" t="s">
        <v>311</v>
      </c>
      <c r="H89" s="93">
        <v>54.7</v>
      </c>
      <c r="I89" s="93">
        <v>0.02</v>
      </c>
      <c r="J89" s="93">
        <v>0</v>
      </c>
    </row>
    <row r="90" spans="4:11" ht="13.5" thickBot="1" x14ac:dyDescent="0.3">
      <c r="D90" s="92">
        <v>48</v>
      </c>
      <c r="E90" s="781" t="s">
        <v>183</v>
      </c>
      <c r="F90" s="782"/>
      <c r="G90" s="93" t="s">
        <v>310</v>
      </c>
      <c r="H90" s="93">
        <v>92.6</v>
      </c>
      <c r="I90" s="93">
        <v>7.0000000000000007E-2</v>
      </c>
      <c r="J90" s="93">
        <v>0.2</v>
      </c>
    </row>
    <row r="91" spans="4:11" ht="12.75" customHeight="1" x14ac:dyDescent="0.25">
      <c r="D91" s="789">
        <v>49</v>
      </c>
      <c r="E91" s="792" t="s">
        <v>312</v>
      </c>
      <c r="F91" s="793"/>
      <c r="G91" s="789">
        <v>34.4</v>
      </c>
      <c r="H91" s="789">
        <v>69.8</v>
      </c>
      <c r="I91" s="789">
        <v>0</v>
      </c>
      <c r="J91" s="789">
        <v>0.2</v>
      </c>
    </row>
    <row r="92" spans="4:11" ht="12.75" customHeight="1" x14ac:dyDescent="0.25">
      <c r="D92" s="790"/>
      <c r="E92" s="794" t="s">
        <v>313</v>
      </c>
      <c r="F92" s="795"/>
      <c r="G92" s="790"/>
      <c r="H92" s="790"/>
      <c r="I92" s="790"/>
      <c r="J92" s="790"/>
    </row>
    <row r="93" spans="4:11" ht="13.5" thickBot="1" x14ac:dyDescent="0.3">
      <c r="D93" s="791"/>
      <c r="E93" s="796" t="s">
        <v>314</v>
      </c>
      <c r="F93" s="797"/>
      <c r="G93" s="791"/>
      <c r="H93" s="791"/>
      <c r="I93" s="791"/>
      <c r="J93" s="791"/>
    </row>
    <row r="94" spans="4:11" ht="13.5" thickBot="1" x14ac:dyDescent="0.3">
      <c r="D94" s="92">
        <v>50</v>
      </c>
      <c r="E94" s="781" t="s">
        <v>203</v>
      </c>
      <c r="F94" s="782"/>
      <c r="G94" s="93">
        <v>34.6</v>
      </c>
      <c r="H94" s="93">
        <v>0</v>
      </c>
      <c r="I94" s="93">
        <v>7.0000000000000007E-2</v>
      </c>
      <c r="J94" s="93">
        <v>0.2</v>
      </c>
    </row>
    <row r="95" spans="4:11" ht="14.5" thickBot="1" x14ac:dyDescent="0.3">
      <c r="D95" s="92">
        <v>51</v>
      </c>
      <c r="E95" s="785" t="s">
        <v>189</v>
      </c>
      <c r="F95" s="786"/>
      <c r="G95" s="93">
        <v>23.4</v>
      </c>
      <c r="H95" s="93">
        <v>0</v>
      </c>
      <c r="I95" s="93">
        <v>7.0000000000000007E-2</v>
      </c>
      <c r="J95" s="93">
        <v>0.2</v>
      </c>
    </row>
    <row r="96" spans="4:11" ht="13.5" thickBot="1" x14ac:dyDescent="0.3">
      <c r="D96" s="94">
        <v>52</v>
      </c>
      <c r="E96" s="787" t="s">
        <v>315</v>
      </c>
      <c r="F96" s="788"/>
      <c r="G96" s="95">
        <v>23.4</v>
      </c>
      <c r="H96" s="95">
        <v>0</v>
      </c>
      <c r="I96" s="95">
        <v>7.0000000000000007E-2</v>
      </c>
      <c r="J96" s="95">
        <v>0.2</v>
      </c>
    </row>
    <row r="97" spans="2:16" ht="13" thickTop="1" x14ac:dyDescent="0.25"/>
    <row r="101" spans="2:16" ht="13" thickBot="1" x14ac:dyDescent="0.3"/>
    <row r="102" spans="2:16" ht="14" x14ac:dyDescent="0.3">
      <c r="C102" s="19"/>
      <c r="D102" s="19"/>
      <c r="E102" s="758" t="s">
        <v>108</v>
      </c>
      <c r="F102" s="752" t="s">
        <v>109</v>
      </c>
      <c r="G102" s="754" t="s">
        <v>110</v>
      </c>
      <c r="H102" s="755"/>
      <c r="I102" s="745" t="s">
        <v>106</v>
      </c>
      <c r="J102" s="746"/>
      <c r="K102" s="746"/>
      <c r="L102" s="746"/>
      <c r="M102" s="747"/>
      <c r="N102" s="19"/>
      <c r="O102" s="19"/>
      <c r="P102" s="21"/>
    </row>
    <row r="103" spans="2:16" ht="15.5" thickBot="1" x14ac:dyDescent="0.35">
      <c r="B103" s="19"/>
      <c r="C103" s="19"/>
      <c r="D103" s="19"/>
      <c r="E103" s="759"/>
      <c r="F103" s="753"/>
      <c r="G103" s="756"/>
      <c r="H103" s="757"/>
      <c r="I103" s="42" t="s">
        <v>111</v>
      </c>
      <c r="J103" s="42" t="s">
        <v>112</v>
      </c>
      <c r="K103" s="42" t="s">
        <v>113</v>
      </c>
      <c r="L103" s="42" t="s">
        <v>114</v>
      </c>
      <c r="M103" s="26" t="s">
        <v>90</v>
      </c>
      <c r="N103" s="19"/>
      <c r="O103" s="19"/>
      <c r="P103" s="22"/>
    </row>
    <row r="104" spans="2:16" ht="14" x14ac:dyDescent="0.3">
      <c r="B104" s="68" t="s">
        <v>115</v>
      </c>
      <c r="C104" s="68" t="s">
        <v>116</v>
      </c>
      <c r="D104" s="748" t="s">
        <v>115</v>
      </c>
      <c r="E104" s="27">
        <v>17</v>
      </c>
      <c r="F104" s="31" t="s">
        <v>117</v>
      </c>
      <c r="G104" s="36">
        <v>3.9299999999999995E-2</v>
      </c>
      <c r="H104" s="48" t="s">
        <v>118</v>
      </c>
      <c r="I104" s="43">
        <v>51.2</v>
      </c>
      <c r="J104" s="43">
        <v>0.1</v>
      </c>
      <c r="K104" s="43">
        <v>0.03</v>
      </c>
      <c r="L104" s="43">
        <v>51.330000000000005</v>
      </c>
      <c r="M104" s="23" t="s">
        <v>119</v>
      </c>
      <c r="N104" s="19"/>
      <c r="O104" s="19"/>
      <c r="P104" s="22"/>
    </row>
    <row r="105" spans="2:16" ht="14" x14ac:dyDescent="0.3">
      <c r="B105" s="68" t="s">
        <v>115</v>
      </c>
      <c r="C105" s="68" t="s">
        <v>120</v>
      </c>
      <c r="D105" s="750"/>
      <c r="E105" s="28">
        <v>18</v>
      </c>
      <c r="F105" s="32" t="s">
        <v>121</v>
      </c>
      <c r="G105" s="37">
        <v>3.7699999999999997E-2</v>
      </c>
      <c r="H105" s="49" t="s">
        <v>118</v>
      </c>
      <c r="I105" s="44">
        <v>51.1</v>
      </c>
      <c r="J105" s="44">
        <v>0.2</v>
      </c>
      <c r="K105" s="44">
        <v>0.03</v>
      </c>
      <c r="L105" s="44">
        <v>51.330000000000005</v>
      </c>
      <c r="M105" s="24" t="s">
        <v>119</v>
      </c>
      <c r="N105" s="19"/>
      <c r="O105" s="19"/>
      <c r="P105" s="22"/>
    </row>
    <row r="106" spans="2:16" ht="14" x14ac:dyDescent="0.3">
      <c r="B106" s="68" t="s">
        <v>115</v>
      </c>
      <c r="C106" s="68" t="s">
        <v>122</v>
      </c>
      <c r="D106" s="750"/>
      <c r="E106" s="28">
        <v>19</v>
      </c>
      <c r="F106" s="32" t="s">
        <v>123</v>
      </c>
      <c r="G106" s="37">
        <v>3.7699999999999997E-2</v>
      </c>
      <c r="H106" s="49" t="s">
        <v>118</v>
      </c>
      <c r="I106" s="44">
        <v>51.6</v>
      </c>
      <c r="J106" s="44">
        <v>5</v>
      </c>
      <c r="K106" s="44">
        <v>0.03</v>
      </c>
      <c r="L106" s="44">
        <v>56.63</v>
      </c>
      <c r="M106" s="24" t="s">
        <v>119</v>
      </c>
      <c r="N106" s="19"/>
      <c r="O106" s="19"/>
      <c r="P106" s="22"/>
    </row>
    <row r="107" spans="2:16" ht="14" x14ac:dyDescent="0.3">
      <c r="B107" s="68" t="s">
        <v>115</v>
      </c>
      <c r="C107" s="68" t="s">
        <v>124</v>
      </c>
      <c r="D107" s="750"/>
      <c r="E107" s="28">
        <v>20</v>
      </c>
      <c r="F107" s="32" t="s">
        <v>125</v>
      </c>
      <c r="G107" s="37">
        <v>3.9299999999999995E-2</v>
      </c>
      <c r="H107" s="49" t="s">
        <v>118</v>
      </c>
      <c r="I107" s="44">
        <v>51.2</v>
      </c>
      <c r="J107" s="44">
        <v>0.1</v>
      </c>
      <c r="K107" s="44">
        <v>0.03</v>
      </c>
      <c r="L107" s="44">
        <v>51.330000000000005</v>
      </c>
      <c r="M107" s="24" t="s">
        <v>119</v>
      </c>
      <c r="N107" s="19"/>
      <c r="O107" s="19"/>
      <c r="P107" s="22"/>
    </row>
    <row r="108" spans="2:16" ht="14" x14ac:dyDescent="0.3">
      <c r="B108" s="68" t="s">
        <v>115</v>
      </c>
      <c r="C108" s="68" t="s">
        <v>126</v>
      </c>
      <c r="D108" s="750"/>
      <c r="E108" s="28">
        <v>21</v>
      </c>
      <c r="F108" s="32" t="s">
        <v>127</v>
      </c>
      <c r="G108" s="37">
        <v>3.9299999999999995E-2</v>
      </c>
      <c r="H108" s="49" t="s">
        <v>118</v>
      </c>
      <c r="I108" s="44">
        <v>51.2</v>
      </c>
      <c r="J108" s="44">
        <v>0.1</v>
      </c>
      <c r="K108" s="44">
        <v>0.03</v>
      </c>
      <c r="L108" s="44">
        <v>51.330000000000005</v>
      </c>
      <c r="M108" s="24" t="s">
        <v>119</v>
      </c>
      <c r="N108" s="19"/>
      <c r="O108" s="19"/>
      <c r="P108" s="22"/>
    </row>
    <row r="109" spans="2:16" ht="14" x14ac:dyDescent="0.3">
      <c r="B109" s="68" t="s">
        <v>115</v>
      </c>
      <c r="C109" s="68" t="s">
        <v>128</v>
      </c>
      <c r="D109" s="750"/>
      <c r="E109" s="28">
        <v>22</v>
      </c>
      <c r="F109" s="32" t="s">
        <v>129</v>
      </c>
      <c r="G109" s="37">
        <v>6.2899999999999998E-2</v>
      </c>
      <c r="H109" s="49" t="s">
        <v>118</v>
      </c>
      <c r="I109" s="44">
        <v>56.2</v>
      </c>
      <c r="J109" s="44">
        <v>0.02</v>
      </c>
      <c r="K109" s="44">
        <v>0.03</v>
      </c>
      <c r="L109" s="44">
        <v>56.250000000000007</v>
      </c>
      <c r="M109" s="24" t="s">
        <v>119</v>
      </c>
      <c r="N109" s="19"/>
      <c r="O109" s="19"/>
      <c r="P109" s="22"/>
    </row>
    <row r="110" spans="2:16" ht="14" x14ac:dyDescent="0.3">
      <c r="B110" s="68" t="s">
        <v>115</v>
      </c>
      <c r="C110" s="68" t="s">
        <v>130</v>
      </c>
      <c r="D110" s="750"/>
      <c r="E110" s="28">
        <v>23</v>
      </c>
      <c r="F110" s="32" t="s">
        <v>131</v>
      </c>
      <c r="G110" s="37">
        <v>1.8100000000000002E-2</v>
      </c>
      <c r="H110" s="49" t="s">
        <v>118</v>
      </c>
      <c r="I110" s="44">
        <v>36.799999999999997</v>
      </c>
      <c r="J110" s="44">
        <v>0.03</v>
      </c>
      <c r="K110" s="44">
        <v>0.06</v>
      </c>
      <c r="L110" s="44">
        <v>36.89</v>
      </c>
      <c r="M110" s="24" t="s">
        <v>119</v>
      </c>
      <c r="N110" s="19"/>
      <c r="O110" s="19"/>
      <c r="P110" s="19"/>
    </row>
    <row r="111" spans="2:16" ht="14" x14ac:dyDescent="0.3">
      <c r="B111" s="68" t="s">
        <v>115</v>
      </c>
      <c r="C111" s="68" t="s">
        <v>132</v>
      </c>
      <c r="D111" s="750"/>
      <c r="E111" s="28">
        <v>24</v>
      </c>
      <c r="F111" s="32" t="s">
        <v>133</v>
      </c>
      <c r="G111" s="37">
        <v>0.04</v>
      </c>
      <c r="H111" s="49" t="s">
        <v>118</v>
      </c>
      <c r="I111" s="44">
        <v>232.8</v>
      </c>
      <c r="J111" s="44">
        <v>0.02</v>
      </c>
      <c r="K111" s="44">
        <v>0.03</v>
      </c>
      <c r="L111" s="44">
        <v>232.85000000000002</v>
      </c>
      <c r="M111" s="24" t="s">
        <v>119</v>
      </c>
      <c r="N111" s="19"/>
      <c r="O111" s="19"/>
      <c r="P111" s="19"/>
    </row>
    <row r="112" spans="2:16" ht="14" x14ac:dyDescent="0.3">
      <c r="B112" s="68" t="s">
        <v>115</v>
      </c>
      <c r="C112" s="68" t="s">
        <v>134</v>
      </c>
      <c r="D112" s="750"/>
      <c r="E112" s="28">
        <v>25</v>
      </c>
      <c r="F112" s="32" t="s">
        <v>135</v>
      </c>
      <c r="G112" s="37">
        <v>3.9E-2</v>
      </c>
      <c r="H112" s="49" t="s">
        <v>118</v>
      </c>
      <c r="I112" s="44">
        <v>59.9</v>
      </c>
      <c r="J112" s="44">
        <v>0.03</v>
      </c>
      <c r="K112" s="44">
        <v>0.03</v>
      </c>
      <c r="L112" s="44">
        <v>59.96</v>
      </c>
      <c r="M112" s="24" t="s">
        <v>119</v>
      </c>
      <c r="N112" s="19"/>
      <c r="O112" s="19"/>
      <c r="P112" s="19"/>
    </row>
    <row r="113" spans="2:16" ht="14" x14ac:dyDescent="0.3">
      <c r="B113" s="68" t="s">
        <v>115</v>
      </c>
      <c r="C113" s="68" t="s">
        <v>136</v>
      </c>
      <c r="D113" s="750"/>
      <c r="E113" s="28">
        <v>26</v>
      </c>
      <c r="F113" s="32" t="s">
        <v>137</v>
      </c>
      <c r="G113" s="37">
        <v>25.3</v>
      </c>
      <c r="H113" s="50" t="s">
        <v>105</v>
      </c>
      <c r="I113" s="44">
        <v>51.2</v>
      </c>
      <c r="J113" s="44">
        <v>0.1</v>
      </c>
      <c r="K113" s="44">
        <v>0.03</v>
      </c>
      <c r="L113" s="44">
        <v>51.330000000000005</v>
      </c>
      <c r="M113" s="24" t="s">
        <v>119</v>
      </c>
      <c r="N113" s="19"/>
      <c r="O113" s="19"/>
      <c r="P113" s="19"/>
    </row>
    <row r="114" spans="2:16" ht="14" x14ac:dyDescent="0.3">
      <c r="B114" s="68" t="s">
        <v>115</v>
      </c>
      <c r="C114" s="68" t="s">
        <v>138</v>
      </c>
      <c r="D114" s="750"/>
      <c r="E114" s="28">
        <v>27</v>
      </c>
      <c r="F114" s="32" t="s">
        <v>139</v>
      </c>
      <c r="G114" s="37">
        <v>3.9299999999999995E-2</v>
      </c>
      <c r="H114" s="49" t="s">
        <v>118</v>
      </c>
      <c r="I114" s="44">
        <v>51.2</v>
      </c>
      <c r="J114" s="44">
        <v>0.1</v>
      </c>
      <c r="K114" s="44">
        <v>0.03</v>
      </c>
      <c r="L114" s="44">
        <v>51.330000000000005</v>
      </c>
      <c r="M114" s="24" t="s">
        <v>119</v>
      </c>
      <c r="N114" s="19"/>
      <c r="O114" s="19"/>
      <c r="P114" s="19"/>
    </row>
    <row r="115" spans="2:16" ht="14" x14ac:dyDescent="0.3">
      <c r="B115" s="68" t="s">
        <v>115</v>
      </c>
      <c r="C115" s="68" t="s">
        <v>140</v>
      </c>
      <c r="D115" s="750"/>
      <c r="E115" s="28">
        <v>28</v>
      </c>
      <c r="F115" s="32" t="s">
        <v>141</v>
      </c>
      <c r="G115" s="37">
        <v>3.7699999999999997E-2</v>
      </c>
      <c r="H115" s="49" t="s">
        <v>118</v>
      </c>
      <c r="I115" s="44">
        <v>0</v>
      </c>
      <c r="J115" s="44">
        <v>4.8</v>
      </c>
      <c r="K115" s="44">
        <v>0.03</v>
      </c>
      <c r="L115" s="44">
        <v>4.83</v>
      </c>
      <c r="M115" s="24" t="s">
        <v>119</v>
      </c>
      <c r="N115" s="19"/>
      <c r="O115" s="19"/>
      <c r="P115" s="19"/>
    </row>
    <row r="116" spans="2:16" ht="14" x14ac:dyDescent="0.3">
      <c r="B116" s="68" t="s">
        <v>115</v>
      </c>
      <c r="C116" s="68" t="s">
        <v>142</v>
      </c>
      <c r="D116" s="750"/>
      <c r="E116" s="28">
        <v>29</v>
      </c>
      <c r="F116" s="32" t="s">
        <v>143</v>
      </c>
      <c r="G116" s="37">
        <v>3.7699999999999997E-2</v>
      </c>
      <c r="H116" s="49" t="s">
        <v>118</v>
      </c>
      <c r="I116" s="44">
        <v>0</v>
      </c>
      <c r="J116" s="44">
        <v>4.8</v>
      </c>
      <c r="K116" s="44">
        <v>0.03</v>
      </c>
      <c r="L116" s="44">
        <v>4.83</v>
      </c>
      <c r="M116" s="24" t="s">
        <v>119</v>
      </c>
      <c r="N116" s="19"/>
      <c r="O116" s="19"/>
      <c r="P116" s="19"/>
    </row>
    <row r="117" spans="2:16" ht="25.5" thickBot="1" x14ac:dyDescent="0.35">
      <c r="B117" s="68" t="s">
        <v>115</v>
      </c>
      <c r="C117" s="68" t="s">
        <v>144</v>
      </c>
      <c r="D117" s="751"/>
      <c r="E117" s="29">
        <v>30</v>
      </c>
      <c r="F117" s="33" t="s">
        <v>145</v>
      </c>
      <c r="G117" s="38">
        <v>3.7699999999999997E-2</v>
      </c>
      <c r="H117" s="51" t="s">
        <v>118</v>
      </c>
      <c r="I117" s="45">
        <v>0</v>
      </c>
      <c r="J117" s="45">
        <v>4.8</v>
      </c>
      <c r="K117" s="45">
        <v>0.03</v>
      </c>
      <c r="L117" s="45">
        <v>4.83</v>
      </c>
      <c r="M117" s="25" t="s">
        <v>119</v>
      </c>
      <c r="N117" s="19"/>
      <c r="O117" s="19"/>
      <c r="P117" s="19"/>
    </row>
    <row r="118" spans="2:16" ht="14" x14ac:dyDescent="0.3">
      <c r="B118" s="68" t="s">
        <v>146</v>
      </c>
      <c r="C118" s="68" t="s">
        <v>147</v>
      </c>
      <c r="D118" s="748" t="s">
        <v>146</v>
      </c>
      <c r="E118" s="30">
        <v>31</v>
      </c>
      <c r="F118" s="34" t="s">
        <v>148</v>
      </c>
      <c r="G118" s="39">
        <v>38.799999999999997</v>
      </c>
      <c r="H118" s="52" t="s">
        <v>149</v>
      </c>
      <c r="I118" s="44">
        <v>27.9</v>
      </c>
      <c r="J118" s="44">
        <v>0</v>
      </c>
      <c r="K118" s="44">
        <v>0</v>
      </c>
      <c r="L118" s="44">
        <v>27.9</v>
      </c>
      <c r="M118" s="24" t="s">
        <v>119</v>
      </c>
      <c r="N118" s="19"/>
      <c r="O118" s="19"/>
      <c r="P118" s="19"/>
    </row>
    <row r="119" spans="2:16" x14ac:dyDescent="0.25">
      <c r="B119" s="68" t="s">
        <v>146</v>
      </c>
      <c r="C119" s="68" t="s">
        <v>150</v>
      </c>
      <c r="D119" s="750"/>
      <c r="E119" s="30">
        <v>32</v>
      </c>
      <c r="F119" s="34" t="s">
        <v>151</v>
      </c>
      <c r="G119" s="39">
        <v>38.799999999999997</v>
      </c>
      <c r="H119" s="52" t="s">
        <v>149</v>
      </c>
      <c r="I119" s="44">
        <v>27.9</v>
      </c>
      <c r="J119" s="44">
        <v>0</v>
      </c>
      <c r="K119" s="44">
        <v>0</v>
      </c>
      <c r="L119" s="44">
        <v>27.9</v>
      </c>
      <c r="M119" s="24" t="s">
        <v>119</v>
      </c>
    </row>
    <row r="120" spans="2:16" x14ac:dyDescent="0.25">
      <c r="B120" s="68" t="s">
        <v>146</v>
      </c>
      <c r="C120" s="68" t="s">
        <v>152</v>
      </c>
      <c r="D120" s="750"/>
      <c r="E120" s="30">
        <v>33</v>
      </c>
      <c r="F120" s="34" t="s">
        <v>153</v>
      </c>
      <c r="G120" s="39">
        <v>45.3</v>
      </c>
      <c r="H120" s="50" t="s">
        <v>105</v>
      </c>
      <c r="I120" s="44">
        <v>68.900000000000006</v>
      </c>
      <c r="J120" s="44">
        <v>0.06</v>
      </c>
      <c r="K120" s="44">
        <v>0.2</v>
      </c>
      <c r="L120" s="44">
        <v>69.160000000000011</v>
      </c>
      <c r="M120" s="24" t="s">
        <v>119</v>
      </c>
    </row>
    <row r="121" spans="2:16" x14ac:dyDescent="0.25">
      <c r="B121" s="68" t="s">
        <v>146</v>
      </c>
      <c r="C121" s="68" t="s">
        <v>154</v>
      </c>
      <c r="D121" s="750"/>
      <c r="E121" s="30">
        <v>34</v>
      </c>
      <c r="F121" s="34" t="s">
        <v>155</v>
      </c>
      <c r="G121" s="39">
        <v>46.5</v>
      </c>
      <c r="H121" s="50" t="s">
        <v>105</v>
      </c>
      <c r="I121" s="44">
        <v>60.4</v>
      </c>
      <c r="J121" s="44">
        <v>0.06</v>
      </c>
      <c r="K121" s="44">
        <v>0.2</v>
      </c>
      <c r="L121" s="44">
        <v>60.660000000000004</v>
      </c>
      <c r="M121" s="24" t="s">
        <v>119</v>
      </c>
    </row>
    <row r="122" spans="2:16" x14ac:dyDescent="0.25">
      <c r="B122" s="68" t="s">
        <v>146</v>
      </c>
      <c r="C122" s="68" t="s">
        <v>156</v>
      </c>
      <c r="D122" s="750"/>
      <c r="E122" s="30">
        <v>35</v>
      </c>
      <c r="F122" s="34" t="s">
        <v>157</v>
      </c>
      <c r="G122" s="39">
        <v>34.200000000000003</v>
      </c>
      <c r="H122" s="52" t="s">
        <v>149</v>
      </c>
      <c r="I122" s="44">
        <v>66.7</v>
      </c>
      <c r="J122" s="44">
        <v>0.2</v>
      </c>
      <c r="K122" s="44">
        <v>0.2</v>
      </c>
      <c r="L122" s="44">
        <v>67.100000000000009</v>
      </c>
      <c r="M122" s="24" t="s">
        <v>119</v>
      </c>
    </row>
    <row r="123" spans="2:16" x14ac:dyDescent="0.25">
      <c r="B123" s="68" t="s">
        <v>146</v>
      </c>
      <c r="C123" s="68" t="s">
        <v>158</v>
      </c>
      <c r="D123" s="750"/>
      <c r="E123" s="30">
        <v>36</v>
      </c>
      <c r="F123" s="34" t="s">
        <v>159</v>
      </c>
      <c r="G123" s="39">
        <v>33.1</v>
      </c>
      <c r="H123" s="52" t="s">
        <v>149</v>
      </c>
      <c r="I123" s="44">
        <v>66.3</v>
      </c>
      <c r="J123" s="44">
        <v>0.2</v>
      </c>
      <c r="K123" s="44">
        <v>0.2</v>
      </c>
      <c r="L123" s="44">
        <v>66.7</v>
      </c>
      <c r="M123" s="24" t="s">
        <v>119</v>
      </c>
    </row>
    <row r="124" spans="2:16" x14ac:dyDescent="0.25">
      <c r="B124" s="68" t="s">
        <v>146</v>
      </c>
      <c r="C124" s="68" t="s">
        <v>160</v>
      </c>
      <c r="D124" s="750"/>
      <c r="E124" s="30">
        <v>37</v>
      </c>
      <c r="F124" s="34" t="s">
        <v>161</v>
      </c>
      <c r="G124" s="39">
        <v>37.5</v>
      </c>
      <c r="H124" s="52" t="s">
        <v>149</v>
      </c>
      <c r="I124" s="44">
        <v>68.2</v>
      </c>
      <c r="J124" s="44">
        <v>0.01</v>
      </c>
      <c r="K124" s="44">
        <v>0.2</v>
      </c>
      <c r="L124" s="44">
        <v>68.410000000000011</v>
      </c>
      <c r="M124" s="24" t="s">
        <v>119</v>
      </c>
    </row>
    <row r="125" spans="2:16" x14ac:dyDescent="0.25">
      <c r="B125" s="68" t="s">
        <v>146</v>
      </c>
      <c r="C125" s="68" t="s">
        <v>162</v>
      </c>
      <c r="D125" s="750"/>
      <c r="E125" s="30">
        <v>38</v>
      </c>
      <c r="F125" s="34" t="s">
        <v>163</v>
      </c>
      <c r="G125" s="39">
        <v>36.799999999999997</v>
      </c>
      <c r="H125" s="52" t="s">
        <v>149</v>
      </c>
      <c r="I125" s="44">
        <v>68.900000000000006</v>
      </c>
      <c r="J125" s="44">
        <v>0.01</v>
      </c>
      <c r="K125" s="44">
        <v>0.2</v>
      </c>
      <c r="L125" s="44">
        <v>69.110000000000014</v>
      </c>
      <c r="M125" s="24" t="s">
        <v>119</v>
      </c>
    </row>
    <row r="126" spans="2:16" x14ac:dyDescent="0.25">
      <c r="B126" s="68" t="s">
        <v>146</v>
      </c>
      <c r="C126" s="68" t="s">
        <v>164</v>
      </c>
      <c r="D126" s="750"/>
      <c r="E126" s="30">
        <v>39</v>
      </c>
      <c r="F126" s="34" t="s">
        <v>165</v>
      </c>
      <c r="G126" s="39">
        <v>37.299999999999997</v>
      </c>
      <c r="H126" s="52" t="s">
        <v>149</v>
      </c>
      <c r="I126" s="44">
        <v>68.8</v>
      </c>
      <c r="J126" s="44">
        <v>0.02</v>
      </c>
      <c r="K126" s="44">
        <v>0.2</v>
      </c>
      <c r="L126" s="44">
        <v>69.02</v>
      </c>
      <c r="M126" s="24" t="s">
        <v>119</v>
      </c>
    </row>
    <row r="127" spans="2:16" x14ac:dyDescent="0.25">
      <c r="B127" s="68" t="s">
        <v>146</v>
      </c>
      <c r="C127" s="68" t="s">
        <v>166</v>
      </c>
      <c r="D127" s="750"/>
      <c r="E127" s="30">
        <v>40</v>
      </c>
      <c r="F127" s="34" t="s">
        <v>167</v>
      </c>
      <c r="G127" s="39">
        <v>38.6</v>
      </c>
      <c r="H127" s="52" t="s">
        <v>149</v>
      </c>
      <c r="I127" s="44">
        <v>69.2</v>
      </c>
      <c r="J127" s="44">
        <v>0.1</v>
      </c>
      <c r="K127" s="44">
        <v>0.2</v>
      </c>
      <c r="L127" s="44">
        <v>69.5</v>
      </c>
      <c r="M127" s="24" t="s">
        <v>119</v>
      </c>
    </row>
    <row r="128" spans="2:16" x14ac:dyDescent="0.25">
      <c r="B128" s="68" t="s">
        <v>146</v>
      </c>
      <c r="C128" s="68" t="s">
        <v>168</v>
      </c>
      <c r="D128" s="750"/>
      <c r="E128" s="30">
        <v>41</v>
      </c>
      <c r="F128" s="34" t="s">
        <v>169</v>
      </c>
      <c r="G128" s="39">
        <v>39.700000000000003</v>
      </c>
      <c r="H128" s="52" t="s">
        <v>149</v>
      </c>
      <c r="I128" s="44">
        <v>72.900000000000006</v>
      </c>
      <c r="J128" s="44">
        <v>0.03</v>
      </c>
      <c r="K128" s="44">
        <v>0.2</v>
      </c>
      <c r="L128" s="44">
        <v>73.13000000000001</v>
      </c>
      <c r="M128" s="24" t="s">
        <v>119</v>
      </c>
    </row>
    <row r="129" spans="2:13" x14ac:dyDescent="0.25">
      <c r="B129" s="68" t="s">
        <v>146</v>
      </c>
      <c r="C129" s="68" t="s">
        <v>170</v>
      </c>
      <c r="D129" s="750"/>
      <c r="E129" s="30">
        <v>42</v>
      </c>
      <c r="F129" s="34" t="s">
        <v>171</v>
      </c>
      <c r="G129" s="39">
        <v>34.4</v>
      </c>
      <c r="H129" s="52" t="s">
        <v>149</v>
      </c>
      <c r="I129" s="44">
        <v>69</v>
      </c>
      <c r="J129" s="44">
        <v>0.02</v>
      </c>
      <c r="K129" s="44">
        <v>0.2</v>
      </c>
      <c r="L129" s="44">
        <v>69.22</v>
      </c>
      <c r="M129" s="24" t="s">
        <v>119</v>
      </c>
    </row>
    <row r="130" spans="2:13" x14ac:dyDescent="0.25">
      <c r="B130" s="68" t="s">
        <v>146</v>
      </c>
      <c r="C130" s="68" t="s">
        <v>172</v>
      </c>
      <c r="D130" s="750"/>
      <c r="E130" s="30">
        <v>43</v>
      </c>
      <c r="F130" s="34" t="s">
        <v>173</v>
      </c>
      <c r="G130" s="39">
        <v>34.4</v>
      </c>
      <c r="H130" s="52" t="s">
        <v>149</v>
      </c>
      <c r="I130" s="44">
        <v>69</v>
      </c>
      <c r="J130" s="44">
        <v>0.02</v>
      </c>
      <c r="K130" s="44">
        <v>0.2</v>
      </c>
      <c r="L130" s="44">
        <v>69.22</v>
      </c>
      <c r="M130" s="24" t="s">
        <v>119</v>
      </c>
    </row>
    <row r="131" spans="2:13" x14ac:dyDescent="0.25">
      <c r="B131" s="68" t="s">
        <v>146</v>
      </c>
      <c r="C131" s="68" t="s">
        <v>174</v>
      </c>
      <c r="D131" s="750"/>
      <c r="E131" s="30">
        <v>44</v>
      </c>
      <c r="F131" s="34" t="s">
        <v>175</v>
      </c>
      <c r="G131" s="39">
        <v>25.7</v>
      </c>
      <c r="H131" s="52" t="s">
        <v>149</v>
      </c>
      <c r="I131" s="44">
        <v>59.6</v>
      </c>
      <c r="J131" s="44">
        <v>0.1</v>
      </c>
      <c r="K131" s="44">
        <v>0.2</v>
      </c>
      <c r="L131" s="44">
        <v>59.900000000000006</v>
      </c>
      <c r="M131" s="24" t="s">
        <v>119</v>
      </c>
    </row>
    <row r="132" spans="2:13" x14ac:dyDescent="0.25">
      <c r="B132" s="68" t="s">
        <v>146</v>
      </c>
      <c r="C132" s="68" t="s">
        <v>176</v>
      </c>
      <c r="D132" s="750"/>
      <c r="E132" s="30">
        <v>45</v>
      </c>
      <c r="F132" s="34" t="s">
        <v>177</v>
      </c>
      <c r="G132" s="39">
        <v>31.4</v>
      </c>
      <c r="H132" s="52" t="s">
        <v>149</v>
      </c>
      <c r="I132" s="44">
        <v>69</v>
      </c>
      <c r="J132" s="44">
        <v>0</v>
      </c>
      <c r="K132" s="44">
        <v>0.02</v>
      </c>
      <c r="L132" s="44">
        <v>69.02</v>
      </c>
      <c r="M132" s="24" t="s">
        <v>119</v>
      </c>
    </row>
    <row r="133" spans="2:13" x14ac:dyDescent="0.25">
      <c r="B133" s="68" t="s">
        <v>146</v>
      </c>
      <c r="C133" s="68" t="s">
        <v>178</v>
      </c>
      <c r="D133" s="750"/>
      <c r="E133" s="30">
        <v>46</v>
      </c>
      <c r="F133" s="34" t="s">
        <v>179</v>
      </c>
      <c r="G133" s="39">
        <v>34.200000000000003</v>
      </c>
      <c r="H133" s="52" t="s">
        <v>105</v>
      </c>
      <c r="I133" s="44">
        <v>90.8</v>
      </c>
      <c r="J133" s="44">
        <v>0.06</v>
      </c>
      <c r="K133" s="44">
        <v>0.2</v>
      </c>
      <c r="L133" s="44">
        <v>91.06</v>
      </c>
      <c r="M133" s="24" t="s">
        <v>119</v>
      </c>
    </row>
    <row r="134" spans="2:13" x14ac:dyDescent="0.25">
      <c r="B134" s="68" t="s">
        <v>146</v>
      </c>
      <c r="C134" s="68" t="s">
        <v>180</v>
      </c>
      <c r="D134" s="750"/>
      <c r="E134" s="30">
        <v>47</v>
      </c>
      <c r="F134" s="34" t="s">
        <v>181</v>
      </c>
      <c r="G134" s="39">
        <v>42.9</v>
      </c>
      <c r="H134" s="52" t="s">
        <v>105</v>
      </c>
      <c r="I134" s="44">
        <v>54.2</v>
      </c>
      <c r="J134" s="44">
        <v>0.02</v>
      </c>
      <c r="K134" s="44">
        <v>0.03</v>
      </c>
      <c r="L134" s="44">
        <v>54.250000000000007</v>
      </c>
      <c r="M134" s="24" t="s">
        <v>119</v>
      </c>
    </row>
    <row r="135" spans="2:13" x14ac:dyDescent="0.25">
      <c r="B135" s="68" t="s">
        <v>146</v>
      </c>
      <c r="C135" s="68" t="s">
        <v>182</v>
      </c>
      <c r="D135" s="750"/>
      <c r="E135" s="30">
        <v>48</v>
      </c>
      <c r="F135" s="34" t="s">
        <v>183</v>
      </c>
      <c r="G135" s="39">
        <v>34.200000000000003</v>
      </c>
      <c r="H135" s="52" t="s">
        <v>105</v>
      </c>
      <c r="I135" s="44">
        <v>90.8</v>
      </c>
      <c r="J135" s="44">
        <v>0.06</v>
      </c>
      <c r="K135" s="44">
        <v>0.2</v>
      </c>
      <c r="L135" s="44">
        <v>91.06</v>
      </c>
      <c r="M135" s="24" t="s">
        <v>119</v>
      </c>
    </row>
    <row r="136" spans="2:13" ht="50" x14ac:dyDescent="0.25">
      <c r="B136" s="68" t="s">
        <v>146</v>
      </c>
      <c r="C136" s="68" t="s">
        <v>184</v>
      </c>
      <c r="D136" s="750"/>
      <c r="E136" s="30">
        <v>49</v>
      </c>
      <c r="F136" s="34" t="s">
        <v>185</v>
      </c>
      <c r="G136" s="39">
        <v>34.4</v>
      </c>
      <c r="H136" s="52" t="s">
        <v>149</v>
      </c>
      <c r="I136" s="44">
        <v>69</v>
      </c>
      <c r="J136" s="44">
        <v>0.02</v>
      </c>
      <c r="K136" s="44">
        <v>0.2</v>
      </c>
      <c r="L136" s="44">
        <v>69.22</v>
      </c>
      <c r="M136" s="24" t="s">
        <v>119</v>
      </c>
    </row>
    <row r="137" spans="2:13" x14ac:dyDescent="0.25">
      <c r="B137" s="68" t="s">
        <v>146</v>
      </c>
      <c r="C137" s="68" t="s">
        <v>186</v>
      </c>
      <c r="D137" s="750"/>
      <c r="E137" s="30">
        <v>50</v>
      </c>
      <c r="F137" s="34" t="s">
        <v>187</v>
      </c>
      <c r="G137" s="39">
        <v>34.6</v>
      </c>
      <c r="H137" s="52" t="s">
        <v>149</v>
      </c>
      <c r="I137" s="44">
        <v>0</v>
      </c>
      <c r="J137" s="44">
        <v>0.06</v>
      </c>
      <c r="K137" s="44">
        <v>0.2</v>
      </c>
      <c r="L137" s="44">
        <v>0.26</v>
      </c>
      <c r="M137" s="24" t="s">
        <v>119</v>
      </c>
    </row>
    <row r="138" spans="2:13" x14ac:dyDescent="0.25">
      <c r="B138" s="68" t="s">
        <v>146</v>
      </c>
      <c r="C138" s="68" t="s">
        <v>188</v>
      </c>
      <c r="D138" s="750"/>
      <c r="E138" s="30">
        <v>51</v>
      </c>
      <c r="F138" s="34" t="s">
        <v>189</v>
      </c>
      <c r="G138" s="39">
        <v>23.4</v>
      </c>
      <c r="H138" s="52" t="s">
        <v>149</v>
      </c>
      <c r="I138" s="44">
        <v>0</v>
      </c>
      <c r="J138" s="44">
        <v>0.06</v>
      </c>
      <c r="K138" s="44">
        <v>0.2</v>
      </c>
      <c r="L138" s="44">
        <v>0.26</v>
      </c>
      <c r="M138" s="24" t="s">
        <v>119</v>
      </c>
    </row>
    <row r="139" spans="2:13" ht="13" thickBot="1" x14ac:dyDescent="0.3">
      <c r="B139" s="68" t="s">
        <v>146</v>
      </c>
      <c r="C139" s="68" t="s">
        <v>190</v>
      </c>
      <c r="D139" s="751"/>
      <c r="E139" s="29">
        <v>52</v>
      </c>
      <c r="F139" s="35" t="s">
        <v>191</v>
      </c>
      <c r="G139" s="38">
        <v>23.4</v>
      </c>
      <c r="H139" s="51" t="s">
        <v>149</v>
      </c>
      <c r="I139" s="45">
        <v>0</v>
      </c>
      <c r="J139" s="45">
        <v>0.06</v>
      </c>
      <c r="K139" s="45">
        <v>0.2</v>
      </c>
      <c r="L139" s="45">
        <v>0.26</v>
      </c>
      <c r="M139" s="25" t="s">
        <v>119</v>
      </c>
    </row>
    <row r="140" spans="2:13" x14ac:dyDescent="0.25">
      <c r="B140" s="68" t="s">
        <v>192</v>
      </c>
      <c r="C140" s="68" t="s">
        <v>193</v>
      </c>
      <c r="D140" s="748" t="s">
        <v>192</v>
      </c>
      <c r="E140" s="30">
        <v>53</v>
      </c>
      <c r="F140" s="32" t="s">
        <v>194</v>
      </c>
      <c r="G140" s="40">
        <v>34.200000000000003</v>
      </c>
      <c r="H140" s="53" t="s">
        <v>149</v>
      </c>
      <c r="I140" s="46">
        <v>66.7</v>
      </c>
      <c r="J140" s="46">
        <v>0.6</v>
      </c>
      <c r="K140" s="46">
        <v>2.2999999999999998</v>
      </c>
      <c r="L140" s="44">
        <v>69.599999999999994</v>
      </c>
      <c r="M140" s="24" t="s">
        <v>119</v>
      </c>
    </row>
    <row r="141" spans="2:13" x14ac:dyDescent="0.25">
      <c r="B141" s="68" t="s">
        <v>192</v>
      </c>
      <c r="C141" s="68" t="s">
        <v>195</v>
      </c>
      <c r="D141" s="763"/>
      <c r="E141" s="30">
        <v>54</v>
      </c>
      <c r="F141" s="32" t="s">
        <v>196</v>
      </c>
      <c r="G141" s="40">
        <v>38.6</v>
      </c>
      <c r="H141" s="53" t="s">
        <v>149</v>
      </c>
      <c r="I141" s="46">
        <v>69.2</v>
      </c>
      <c r="J141" s="46">
        <v>0.2</v>
      </c>
      <c r="K141" s="46">
        <v>0.5</v>
      </c>
      <c r="L141" s="44">
        <v>69.900000000000006</v>
      </c>
      <c r="M141" s="24" t="s">
        <v>119</v>
      </c>
    </row>
    <row r="142" spans="2:13" x14ac:dyDescent="0.25">
      <c r="B142" s="68" t="s">
        <v>192</v>
      </c>
      <c r="C142" s="68" t="s">
        <v>197</v>
      </c>
      <c r="D142" s="763"/>
      <c r="E142" s="30">
        <v>55</v>
      </c>
      <c r="F142" s="32" t="s">
        <v>159</v>
      </c>
      <c r="G142" s="40">
        <v>33.1</v>
      </c>
      <c r="H142" s="53" t="s">
        <v>149</v>
      </c>
      <c r="I142" s="46">
        <v>66.3</v>
      </c>
      <c r="J142" s="46">
        <v>0.04</v>
      </c>
      <c r="K142" s="46">
        <v>0.7</v>
      </c>
      <c r="L142" s="44">
        <v>67.040000000000006</v>
      </c>
      <c r="M142" s="24" t="s">
        <v>119</v>
      </c>
    </row>
    <row r="143" spans="2:13" x14ac:dyDescent="0.25">
      <c r="B143" s="68" t="s">
        <v>192</v>
      </c>
      <c r="C143" s="68" t="s">
        <v>198</v>
      </c>
      <c r="D143" s="763"/>
      <c r="E143" s="30">
        <v>56</v>
      </c>
      <c r="F143" s="32" t="s">
        <v>163</v>
      </c>
      <c r="G143" s="40">
        <v>36.799999999999997</v>
      </c>
      <c r="H143" s="53" t="s">
        <v>149</v>
      </c>
      <c r="I143" s="46">
        <v>68.900000000000006</v>
      </c>
      <c r="J143" s="46">
        <v>0.01</v>
      </c>
      <c r="K143" s="46">
        <v>0.7</v>
      </c>
      <c r="L143" s="44">
        <v>69.610000000000014</v>
      </c>
      <c r="M143" s="24" t="s">
        <v>119</v>
      </c>
    </row>
    <row r="144" spans="2:13" x14ac:dyDescent="0.25">
      <c r="B144" s="68" t="s">
        <v>192</v>
      </c>
      <c r="C144" s="68" t="s">
        <v>199</v>
      </c>
      <c r="D144" s="763"/>
      <c r="E144" s="30">
        <v>57</v>
      </c>
      <c r="F144" s="32" t="s">
        <v>169</v>
      </c>
      <c r="G144" s="40">
        <v>39.700000000000003</v>
      </c>
      <c r="H144" s="53" t="s">
        <v>149</v>
      </c>
      <c r="I144" s="46">
        <v>72.900000000000006</v>
      </c>
      <c r="J144" s="46">
        <v>0.06</v>
      </c>
      <c r="K144" s="46">
        <v>0.6</v>
      </c>
      <c r="L144" s="44">
        <v>73.56</v>
      </c>
      <c r="M144" s="24" t="s">
        <v>119</v>
      </c>
    </row>
    <row r="145" spans="2:16" x14ac:dyDescent="0.25">
      <c r="B145" s="68" t="s">
        <v>192</v>
      </c>
      <c r="C145" s="68" t="s">
        <v>200</v>
      </c>
      <c r="D145" s="763"/>
      <c r="E145" s="30">
        <v>58</v>
      </c>
      <c r="F145" s="32" t="s">
        <v>201</v>
      </c>
      <c r="G145" s="40">
        <v>26.2</v>
      </c>
      <c r="H145" s="53" t="s">
        <v>149</v>
      </c>
      <c r="I145" s="46">
        <v>59.6</v>
      </c>
      <c r="J145" s="46">
        <v>0.6</v>
      </c>
      <c r="K145" s="46">
        <v>0.6</v>
      </c>
      <c r="L145" s="44">
        <v>60.800000000000004</v>
      </c>
      <c r="M145" s="24" t="s">
        <v>119</v>
      </c>
    </row>
    <row r="146" spans="2:16" x14ac:dyDescent="0.25">
      <c r="B146" s="68" t="s">
        <v>192</v>
      </c>
      <c r="C146" s="68" t="s">
        <v>202</v>
      </c>
      <c r="D146" s="763"/>
      <c r="E146" s="30">
        <v>59</v>
      </c>
      <c r="F146" s="32" t="s">
        <v>203</v>
      </c>
      <c r="G146" s="40">
        <v>34.6</v>
      </c>
      <c r="H146" s="53" t="s">
        <v>149</v>
      </c>
      <c r="I146" s="46">
        <v>0</v>
      </c>
      <c r="J146" s="46">
        <v>1.2</v>
      </c>
      <c r="K146" s="46">
        <v>2.2000000000000002</v>
      </c>
      <c r="L146" s="44">
        <v>3.4000000000000004</v>
      </c>
      <c r="M146" s="24" t="s">
        <v>119</v>
      </c>
    </row>
    <row r="147" spans="2:16" x14ac:dyDescent="0.25">
      <c r="B147" s="68" t="s">
        <v>192</v>
      </c>
      <c r="C147" s="68" t="s">
        <v>204</v>
      </c>
      <c r="D147" s="763"/>
      <c r="E147" s="30">
        <v>60</v>
      </c>
      <c r="F147" s="32" t="s">
        <v>205</v>
      </c>
      <c r="G147" s="40">
        <v>23.4</v>
      </c>
      <c r="H147" s="53" t="s">
        <v>149</v>
      </c>
      <c r="I147" s="46">
        <v>0</v>
      </c>
      <c r="J147" s="46">
        <v>1.2</v>
      </c>
      <c r="K147" s="46">
        <v>2.2000000000000002</v>
      </c>
      <c r="L147" s="44">
        <v>3.4000000000000004</v>
      </c>
      <c r="M147" s="24" t="s">
        <v>119</v>
      </c>
    </row>
    <row r="148" spans="2:16" x14ac:dyDescent="0.25">
      <c r="B148" s="68" t="s">
        <v>192</v>
      </c>
      <c r="C148" s="68" t="s">
        <v>206</v>
      </c>
      <c r="D148" s="763"/>
      <c r="E148" s="30">
        <v>61</v>
      </c>
      <c r="F148" s="32" t="s">
        <v>207</v>
      </c>
      <c r="G148" s="40">
        <v>23.4</v>
      </c>
      <c r="H148" s="53" t="s">
        <v>149</v>
      </c>
      <c r="I148" s="46">
        <v>0</v>
      </c>
      <c r="J148" s="46">
        <v>1.2</v>
      </c>
      <c r="K148" s="46">
        <v>2.2000000000000002</v>
      </c>
      <c r="L148" s="44">
        <v>3.4000000000000004</v>
      </c>
      <c r="M148" s="24" t="s">
        <v>119</v>
      </c>
    </row>
    <row r="149" spans="2:16" x14ac:dyDescent="0.25">
      <c r="B149" s="68" t="s">
        <v>192</v>
      </c>
      <c r="C149" s="68" t="s">
        <v>208</v>
      </c>
      <c r="D149" s="763"/>
      <c r="E149" s="30">
        <v>62</v>
      </c>
      <c r="F149" s="32" t="s">
        <v>209</v>
      </c>
      <c r="G149" s="37">
        <v>3.9299999999999995E-2</v>
      </c>
      <c r="H149" s="49" t="s">
        <v>118</v>
      </c>
      <c r="I149" s="46">
        <v>51.2</v>
      </c>
      <c r="J149" s="46">
        <v>5.5</v>
      </c>
      <c r="K149" s="46">
        <v>0.3</v>
      </c>
      <c r="L149" s="44">
        <v>57</v>
      </c>
      <c r="M149" s="24" t="s">
        <v>119</v>
      </c>
    </row>
    <row r="150" spans="2:16" ht="13" thickBot="1" x14ac:dyDescent="0.3">
      <c r="B150" s="68" t="s">
        <v>192</v>
      </c>
      <c r="C150" s="68" t="s">
        <v>210</v>
      </c>
      <c r="D150" s="749"/>
      <c r="E150" s="29">
        <v>63</v>
      </c>
      <c r="F150" s="33" t="s">
        <v>211</v>
      </c>
      <c r="G150" s="41">
        <v>3.9299999999999995E-2</v>
      </c>
      <c r="H150" s="54" t="s">
        <v>118</v>
      </c>
      <c r="I150" s="47">
        <v>51.2</v>
      </c>
      <c r="J150" s="47">
        <v>2.1</v>
      </c>
      <c r="K150" s="47">
        <v>0.3</v>
      </c>
      <c r="L150" s="45">
        <v>53.6</v>
      </c>
      <c r="M150" s="25" t="s">
        <v>119</v>
      </c>
    </row>
    <row r="151" spans="2:16" ht="14" x14ac:dyDescent="0.3">
      <c r="B151" s="68" t="s">
        <v>212</v>
      </c>
      <c r="C151" s="68" t="s">
        <v>213</v>
      </c>
      <c r="D151" s="766" t="s">
        <v>212</v>
      </c>
      <c r="E151" s="30">
        <v>81</v>
      </c>
      <c r="F151" s="34" t="s">
        <v>214</v>
      </c>
      <c r="G151" s="363">
        <v>3.5999999999999999E-3</v>
      </c>
      <c r="H151" s="52" t="s">
        <v>215</v>
      </c>
      <c r="I151" s="44">
        <v>0.78</v>
      </c>
      <c r="J151" s="44"/>
      <c r="K151" s="44"/>
      <c r="L151" s="44"/>
      <c r="M151" s="24" t="s">
        <v>216</v>
      </c>
      <c r="N151" s="19"/>
      <c r="O151" s="19"/>
      <c r="P151" s="19"/>
    </row>
    <row r="152" spans="2:16" ht="14.5" thickBot="1" x14ac:dyDescent="0.35">
      <c r="B152" s="68" t="s">
        <v>212</v>
      </c>
      <c r="C152" s="68" t="s">
        <v>217</v>
      </c>
      <c r="D152" s="767"/>
      <c r="E152" s="29">
        <v>83</v>
      </c>
      <c r="F152" s="35" t="s">
        <v>218</v>
      </c>
      <c r="G152" s="38">
        <v>3.5999999999999999E-3</v>
      </c>
      <c r="H152" s="51" t="s">
        <v>215</v>
      </c>
      <c r="I152" s="45">
        <v>0.69</v>
      </c>
      <c r="J152" s="45"/>
      <c r="K152" s="45"/>
      <c r="L152" s="45"/>
      <c r="M152" s="25" t="s">
        <v>216</v>
      </c>
      <c r="N152" s="19"/>
      <c r="O152" s="19"/>
      <c r="P152" s="19"/>
    </row>
    <row r="153" spans="2:16" ht="14.5" thickBot="1" x14ac:dyDescent="0.35">
      <c r="B153" s="68"/>
      <c r="C153" s="68"/>
      <c r="D153" s="78"/>
      <c r="E153" s="79"/>
      <c r="F153" s="80" t="s">
        <v>219</v>
      </c>
      <c r="G153" s="38">
        <v>3.5999999999999999E-3</v>
      </c>
      <c r="H153" s="51" t="s">
        <v>215</v>
      </c>
      <c r="I153" s="39"/>
      <c r="J153" s="81"/>
      <c r="K153" s="81"/>
      <c r="L153" s="81"/>
      <c r="M153" s="24"/>
      <c r="N153" s="19"/>
      <c r="O153" s="19"/>
      <c r="P153" s="19"/>
    </row>
    <row r="154" spans="2:16" ht="15.5" thickBot="1" x14ac:dyDescent="0.35">
      <c r="B154" s="68" t="s">
        <v>220</v>
      </c>
      <c r="C154" s="68" t="s">
        <v>220</v>
      </c>
      <c r="D154" s="748" t="s">
        <v>220</v>
      </c>
      <c r="E154" s="62"/>
      <c r="F154" s="63"/>
      <c r="G154" s="63"/>
      <c r="H154" s="64"/>
      <c r="I154" s="742" t="s">
        <v>221</v>
      </c>
      <c r="J154" s="743"/>
      <c r="K154" s="743"/>
      <c r="L154" s="743"/>
      <c r="M154" s="744"/>
      <c r="N154" s="19"/>
      <c r="O154" s="19"/>
      <c r="P154" s="19"/>
    </row>
    <row r="155" spans="2:16" ht="15.5" thickBot="1" x14ac:dyDescent="0.35">
      <c r="B155" s="68" t="s">
        <v>220</v>
      </c>
      <c r="C155" s="68" t="s">
        <v>220</v>
      </c>
      <c r="D155" s="763"/>
      <c r="E155" s="65"/>
      <c r="F155" s="66"/>
      <c r="G155" s="66"/>
      <c r="H155" s="67"/>
      <c r="I155" s="42" t="s">
        <v>111</v>
      </c>
      <c r="J155" s="42" t="s">
        <v>112</v>
      </c>
      <c r="K155" s="42" t="s">
        <v>113</v>
      </c>
      <c r="L155" s="42" t="s">
        <v>114</v>
      </c>
      <c r="M155" s="26" t="s">
        <v>90</v>
      </c>
      <c r="N155" s="764" t="s">
        <v>104</v>
      </c>
      <c r="O155" s="765"/>
      <c r="P155" s="765"/>
    </row>
    <row r="156" spans="2:16" x14ac:dyDescent="0.25">
      <c r="B156" s="68" t="s">
        <v>220</v>
      </c>
      <c r="C156" s="68" t="s">
        <v>222</v>
      </c>
      <c r="D156" s="763"/>
      <c r="E156" s="30">
        <v>1</v>
      </c>
      <c r="F156" s="32" t="s">
        <v>223</v>
      </c>
      <c r="G156" s="40">
        <v>3.9300000000000002E-2</v>
      </c>
      <c r="H156" s="53" t="s">
        <v>118</v>
      </c>
      <c r="I156" s="46">
        <v>2700</v>
      </c>
      <c r="J156" s="46">
        <v>100</v>
      </c>
      <c r="K156" s="46">
        <v>30</v>
      </c>
      <c r="L156" s="43">
        <v>2830</v>
      </c>
      <c r="M156" s="24" t="s">
        <v>224</v>
      </c>
      <c r="N156" s="77" t="s">
        <v>225</v>
      </c>
      <c r="O156" s="77"/>
      <c r="P156" s="77"/>
    </row>
    <row r="157" spans="2:16" x14ac:dyDescent="0.25">
      <c r="B157" s="68" t="s">
        <v>220</v>
      </c>
      <c r="C157" s="68" t="s">
        <v>226</v>
      </c>
      <c r="D157" s="763"/>
      <c r="E157" s="30">
        <v>1</v>
      </c>
      <c r="F157" s="32" t="s">
        <v>227</v>
      </c>
      <c r="G157" s="40">
        <v>3.9300000000000002E-2</v>
      </c>
      <c r="H157" s="53" t="s">
        <v>118</v>
      </c>
      <c r="I157" s="46">
        <v>2800</v>
      </c>
      <c r="J157" s="46">
        <v>700</v>
      </c>
      <c r="K157" s="46">
        <v>30</v>
      </c>
      <c r="L157" s="44">
        <v>3530</v>
      </c>
      <c r="M157" s="24" t="s">
        <v>224</v>
      </c>
      <c r="N157" s="77" t="s">
        <v>228</v>
      </c>
      <c r="O157" s="77"/>
      <c r="P157" s="77"/>
    </row>
    <row r="158" spans="2:16" ht="13" thickBot="1" x14ac:dyDescent="0.3">
      <c r="B158" s="68" t="s">
        <v>220</v>
      </c>
      <c r="C158" s="68" t="s">
        <v>229</v>
      </c>
      <c r="D158" s="749"/>
      <c r="E158" s="29">
        <v>2</v>
      </c>
      <c r="F158" s="33" t="s">
        <v>230</v>
      </c>
      <c r="G158" s="55"/>
      <c r="H158" s="56"/>
      <c r="I158" s="47">
        <v>3200</v>
      </c>
      <c r="J158" s="47">
        <v>7</v>
      </c>
      <c r="K158" s="47">
        <v>70</v>
      </c>
      <c r="L158" s="45">
        <v>3277</v>
      </c>
      <c r="M158" s="25" t="s">
        <v>224</v>
      </c>
      <c r="N158" s="77" t="s">
        <v>228</v>
      </c>
      <c r="O158" s="77"/>
      <c r="P158" s="77"/>
    </row>
    <row r="159" spans="2:16" ht="15" x14ac:dyDescent="0.3">
      <c r="B159" s="68" t="s">
        <v>220</v>
      </c>
      <c r="C159" s="68" t="s">
        <v>220</v>
      </c>
      <c r="D159" s="69"/>
      <c r="E159" s="62"/>
      <c r="F159" s="63"/>
      <c r="G159" s="63"/>
      <c r="H159" s="64"/>
      <c r="I159" s="742" t="s">
        <v>231</v>
      </c>
      <c r="J159" s="743"/>
      <c r="K159" s="743"/>
      <c r="L159" s="743"/>
      <c r="M159" s="744"/>
      <c r="N159" s="19"/>
      <c r="O159" s="19"/>
      <c r="P159" s="19"/>
    </row>
    <row r="160" spans="2:16" ht="15.5" thickBot="1" x14ac:dyDescent="0.35">
      <c r="B160" s="68" t="s">
        <v>220</v>
      </c>
      <c r="C160" s="68" t="s">
        <v>220</v>
      </c>
      <c r="D160" s="69"/>
      <c r="E160" s="65"/>
      <c r="F160" s="66"/>
      <c r="G160" s="66"/>
      <c r="H160" s="67"/>
      <c r="I160" s="42" t="s">
        <v>111</v>
      </c>
      <c r="J160" s="42" t="s">
        <v>112</v>
      </c>
      <c r="K160" s="42" t="s">
        <v>113</v>
      </c>
      <c r="L160" s="42" t="s">
        <v>114</v>
      </c>
      <c r="M160" s="26" t="s">
        <v>90</v>
      </c>
      <c r="N160" s="19"/>
      <c r="O160" s="19"/>
      <c r="P160" s="19"/>
    </row>
    <row r="161" spans="2:16" x14ac:dyDescent="0.25">
      <c r="B161" s="68" t="s">
        <v>232</v>
      </c>
      <c r="C161" s="68" t="s">
        <v>233</v>
      </c>
      <c r="D161" s="748" t="s">
        <v>232</v>
      </c>
      <c r="E161" s="30"/>
      <c r="F161" s="32" t="s">
        <v>234</v>
      </c>
      <c r="G161" s="40"/>
      <c r="H161" s="53"/>
      <c r="I161" s="46"/>
      <c r="J161" s="46">
        <v>1.2</v>
      </c>
      <c r="K161" s="46"/>
      <c r="L161" s="44"/>
      <c r="M161" s="24" t="s">
        <v>224</v>
      </c>
      <c r="N161" s="77" t="s">
        <v>235</v>
      </c>
      <c r="O161" s="77"/>
      <c r="P161" s="77"/>
    </row>
    <row r="162" spans="2:16" x14ac:dyDescent="0.25">
      <c r="B162" s="68" t="s">
        <v>232</v>
      </c>
      <c r="C162" s="68" t="s">
        <v>236</v>
      </c>
      <c r="D162" s="763"/>
      <c r="E162" s="30"/>
      <c r="F162" s="32" t="s">
        <v>237</v>
      </c>
      <c r="G162" s="40"/>
      <c r="H162" s="53"/>
      <c r="I162" s="40"/>
      <c r="J162" s="75">
        <v>4.1999999999999997E-3</v>
      </c>
      <c r="K162" s="74"/>
      <c r="L162" s="44"/>
      <c r="M162" s="24" t="s">
        <v>224</v>
      </c>
      <c r="N162" s="77" t="s">
        <v>238</v>
      </c>
      <c r="O162" s="77"/>
      <c r="P162" s="77"/>
    </row>
    <row r="163" spans="2:16" x14ac:dyDescent="0.25">
      <c r="B163" s="68" t="s">
        <v>232</v>
      </c>
      <c r="C163" s="68" t="s">
        <v>239</v>
      </c>
      <c r="D163" s="763"/>
      <c r="E163" s="30"/>
      <c r="F163" s="32" t="s">
        <v>240</v>
      </c>
      <c r="G163" s="40"/>
      <c r="H163" s="53"/>
      <c r="I163" s="40"/>
      <c r="J163" s="46">
        <v>1.2</v>
      </c>
      <c r="K163" s="74"/>
      <c r="L163" s="44"/>
      <c r="M163" s="24" t="s">
        <v>224</v>
      </c>
      <c r="N163" s="77" t="s">
        <v>241</v>
      </c>
      <c r="O163" s="77"/>
      <c r="P163" s="77"/>
    </row>
    <row r="164" spans="2:16" x14ac:dyDescent="0.25">
      <c r="B164" s="68" t="s">
        <v>232</v>
      </c>
      <c r="C164" s="68" t="s">
        <v>242</v>
      </c>
      <c r="D164" s="763"/>
      <c r="E164" s="30"/>
      <c r="F164" s="32" t="s">
        <v>243</v>
      </c>
      <c r="G164" s="40"/>
      <c r="H164" s="53"/>
      <c r="I164" s="46">
        <v>1</v>
      </c>
      <c r="J164" s="46">
        <v>0</v>
      </c>
      <c r="K164" s="46">
        <v>0</v>
      </c>
      <c r="L164" s="46"/>
      <c r="M164" s="24" t="s">
        <v>224</v>
      </c>
      <c r="N164" s="77" t="s">
        <v>244</v>
      </c>
      <c r="O164" s="77"/>
      <c r="P164" s="77"/>
    </row>
    <row r="165" spans="2:16" x14ac:dyDescent="0.25">
      <c r="B165" s="68" t="s">
        <v>232</v>
      </c>
      <c r="C165" s="68" t="s">
        <v>245</v>
      </c>
      <c r="D165" s="763"/>
      <c r="E165" s="30"/>
      <c r="F165" s="32" t="s">
        <v>246</v>
      </c>
      <c r="G165" s="40"/>
      <c r="H165" s="53"/>
      <c r="I165" s="76">
        <v>2.565804</v>
      </c>
      <c r="J165" s="76">
        <v>136.65600000000001</v>
      </c>
      <c r="K165" s="46"/>
      <c r="L165" s="44"/>
      <c r="M165" s="24" t="s">
        <v>247</v>
      </c>
      <c r="N165" s="77" t="s">
        <v>248</v>
      </c>
      <c r="O165" s="77"/>
      <c r="P165" s="77"/>
    </row>
    <row r="166" spans="2:16" ht="13" thickBot="1" x14ac:dyDescent="0.3">
      <c r="B166" s="68" t="s">
        <v>232</v>
      </c>
      <c r="C166" s="68" t="s">
        <v>249</v>
      </c>
      <c r="D166" s="749"/>
      <c r="E166" s="29"/>
      <c r="F166" s="33" t="s">
        <v>250</v>
      </c>
      <c r="G166" s="55"/>
      <c r="H166" s="56"/>
      <c r="I166" s="47"/>
      <c r="J166" s="73">
        <v>4.1999999999999997E-3</v>
      </c>
      <c r="K166" s="47"/>
      <c r="L166" s="45"/>
      <c r="M166" s="25" t="s">
        <v>224</v>
      </c>
      <c r="N166" s="77" t="s">
        <v>251</v>
      </c>
      <c r="O166" s="77"/>
      <c r="P166" s="77"/>
    </row>
    <row r="167" spans="2:16" ht="15" x14ac:dyDescent="0.3">
      <c r="B167" s="68" t="s">
        <v>232</v>
      </c>
      <c r="C167" s="68" t="s">
        <v>232</v>
      </c>
      <c r="D167" s="69"/>
      <c r="E167" s="62"/>
      <c r="F167" s="63"/>
      <c r="G167" s="63"/>
      <c r="H167" s="64"/>
      <c r="I167" s="742" t="s">
        <v>252</v>
      </c>
      <c r="J167" s="743"/>
      <c r="K167" s="743"/>
      <c r="L167" s="743"/>
      <c r="M167" s="744"/>
      <c r="N167" s="19"/>
      <c r="O167" s="19"/>
      <c r="P167" s="19"/>
    </row>
    <row r="168" spans="2:16" ht="15.5" thickBot="1" x14ac:dyDescent="0.35">
      <c r="B168" s="68" t="s">
        <v>232</v>
      </c>
      <c r="C168" s="68" t="s">
        <v>232</v>
      </c>
      <c r="D168" s="69"/>
      <c r="E168" s="65"/>
      <c r="F168" s="66"/>
      <c r="G168" s="66"/>
      <c r="H168" s="67"/>
      <c r="I168" s="42" t="s">
        <v>111</v>
      </c>
      <c r="J168" s="42" t="s">
        <v>112</v>
      </c>
      <c r="K168" s="42" t="s">
        <v>113</v>
      </c>
      <c r="L168" s="42" t="s">
        <v>114</v>
      </c>
      <c r="M168" s="26" t="s">
        <v>90</v>
      </c>
      <c r="N168" s="19"/>
      <c r="O168" s="19"/>
      <c r="P168" s="19"/>
    </row>
    <row r="169" spans="2:16" ht="14" x14ac:dyDescent="0.3">
      <c r="B169" s="68" t="s">
        <v>253</v>
      </c>
      <c r="C169" s="68" t="s">
        <v>254</v>
      </c>
      <c r="D169" s="748" t="s">
        <v>253</v>
      </c>
      <c r="E169" s="57"/>
      <c r="F169" s="31" t="s">
        <v>255</v>
      </c>
      <c r="G169" s="58"/>
      <c r="H169" s="59"/>
      <c r="I169" s="60">
        <v>23900000</v>
      </c>
      <c r="J169" s="60"/>
      <c r="K169" s="60"/>
      <c r="L169" s="43"/>
      <c r="M169" s="23" t="s">
        <v>224</v>
      </c>
      <c r="N169" s="19"/>
      <c r="O169" s="61"/>
      <c r="P169" s="61"/>
    </row>
    <row r="170" spans="2:16" ht="14.5" thickBot="1" x14ac:dyDescent="0.35">
      <c r="B170" s="68" t="s">
        <v>253</v>
      </c>
      <c r="C170" s="68" t="s">
        <v>256</v>
      </c>
      <c r="D170" s="749"/>
      <c r="E170" s="29"/>
      <c r="F170" s="33" t="s">
        <v>257</v>
      </c>
      <c r="G170" s="55"/>
      <c r="H170" s="56"/>
      <c r="I170" s="47"/>
      <c r="J170" s="47">
        <v>1</v>
      </c>
      <c r="K170" s="47"/>
      <c r="L170" s="45"/>
      <c r="M170" s="25" t="s">
        <v>258</v>
      </c>
      <c r="N170" s="19"/>
      <c r="O170" s="61"/>
      <c r="P170" s="61"/>
    </row>
    <row r="171" spans="2:16" ht="14" x14ac:dyDescent="0.3">
      <c r="B171" s="19"/>
      <c r="C171" s="19"/>
      <c r="D171" s="19"/>
      <c r="E171" s="19"/>
      <c r="F171" s="19"/>
      <c r="G171" s="19"/>
      <c r="H171" s="19"/>
      <c r="I171" s="19"/>
      <c r="J171" s="19"/>
      <c r="K171" s="19"/>
      <c r="L171" s="19"/>
      <c r="M171" s="19"/>
      <c r="N171" s="19"/>
      <c r="O171" s="19"/>
      <c r="P171" s="19"/>
    </row>
    <row r="172" spans="2:16" ht="14.5" thickBot="1" x14ac:dyDescent="0.35">
      <c r="B172" s="19"/>
      <c r="C172" s="19"/>
      <c r="D172" s="20"/>
      <c r="E172" s="19"/>
      <c r="F172" s="19"/>
      <c r="G172" s="19"/>
      <c r="H172" s="19"/>
      <c r="I172" s="19"/>
      <c r="J172" s="19"/>
      <c r="K172" s="19"/>
      <c r="L172" s="19"/>
      <c r="M172" s="19"/>
      <c r="N172" s="19"/>
      <c r="O172" s="19"/>
      <c r="P172" s="19"/>
    </row>
    <row r="173" spans="2:16" ht="14.5" thickBot="1" x14ac:dyDescent="0.35">
      <c r="B173" s="19"/>
      <c r="C173" s="19"/>
      <c r="D173" s="740" t="s">
        <v>259</v>
      </c>
      <c r="E173" s="741"/>
      <c r="F173" s="32" t="s">
        <v>127</v>
      </c>
      <c r="G173" s="72" t="s">
        <v>260</v>
      </c>
      <c r="H173" s="71" t="s">
        <v>118</v>
      </c>
      <c r="I173" s="70" t="s">
        <v>260</v>
      </c>
      <c r="J173" s="44">
        <v>8.4000000000000005E-2</v>
      </c>
      <c r="K173" s="44">
        <v>0.03</v>
      </c>
      <c r="L173" s="44"/>
      <c r="M173" s="24" t="s">
        <v>119</v>
      </c>
      <c r="N173" s="19"/>
      <c r="O173" s="19"/>
      <c r="P173" s="19"/>
    </row>
    <row r="175" spans="2:16" ht="14" x14ac:dyDescent="0.3">
      <c r="B175" s="19"/>
      <c r="C175" s="19"/>
      <c r="D175" s="19"/>
      <c r="E175" s="1" t="s">
        <v>971</v>
      </c>
      <c r="F175" s="19" t="str">
        <f>Inputs!D12</f>
        <v>VIC</v>
      </c>
      <c r="G175" s="19"/>
      <c r="H175" s="19"/>
      <c r="I175" s="19"/>
      <c r="J175" s="19"/>
      <c r="K175" s="19"/>
      <c r="L175" s="19"/>
      <c r="M175" s="19"/>
      <c r="N175" s="19"/>
      <c r="O175" s="19"/>
      <c r="P175" s="19"/>
    </row>
    <row r="176" spans="2:16" ht="14" x14ac:dyDescent="0.3">
      <c r="E176" s="1" t="s">
        <v>999</v>
      </c>
      <c r="F176" s="19" t="str">
        <f>Inputs!D13</f>
        <v>Darwin Katherine Interconnected System</v>
      </c>
    </row>
    <row r="177" spans="5:7" x14ac:dyDescent="0.25">
      <c r="E177" s="1" t="s">
        <v>1004</v>
      </c>
      <c r="F177" s="1" t="str">
        <f>F175&amp;IF(AND(F175&lt;&gt;"WA",F175&lt;&gt;"NT"),""," - "&amp;F176)</f>
        <v>VIC</v>
      </c>
    </row>
    <row r="178" spans="5:7" x14ac:dyDescent="0.25">
      <c r="E178" s="1" t="s">
        <v>990</v>
      </c>
      <c r="F178" s="1">
        <f>IFERROR(INDEX($F$183:$F$192,MATCH(F177,$E$183:$E$192,0)),
IF(F175="WA",F188,IF(F175="NT",F192,"UNKNOWN ERROR")))</f>
        <v>0.98</v>
      </c>
      <c r="G178" t="s">
        <v>1009</v>
      </c>
    </row>
    <row r="181" spans="5:7" x14ac:dyDescent="0.25">
      <c r="E181" s="1" t="s">
        <v>1066</v>
      </c>
    </row>
    <row r="183" spans="5:7" x14ac:dyDescent="0.25">
      <c r="E183" s="1" t="s">
        <v>972</v>
      </c>
      <c r="F183" s="1">
        <v>0.81</v>
      </c>
    </row>
    <row r="184" spans="5:7" x14ac:dyDescent="0.25">
      <c r="E184" s="1" t="s">
        <v>979</v>
      </c>
      <c r="F184" s="1">
        <v>0.81</v>
      </c>
    </row>
    <row r="185" spans="5:7" x14ac:dyDescent="0.25">
      <c r="E185" s="1" t="s">
        <v>973</v>
      </c>
      <c r="F185" s="1">
        <v>0.98</v>
      </c>
    </row>
    <row r="186" spans="5:7" x14ac:dyDescent="0.25">
      <c r="E186" s="1" t="s">
        <v>976</v>
      </c>
      <c r="F186" s="1">
        <v>0.81</v>
      </c>
    </row>
    <row r="187" spans="5:7" x14ac:dyDescent="0.25">
      <c r="E187" s="1" t="s">
        <v>974</v>
      </c>
      <c r="F187" s="1">
        <v>0.43</v>
      </c>
    </row>
    <row r="188" spans="5:7" x14ac:dyDescent="0.25">
      <c r="E188" s="1" t="s">
        <v>1005</v>
      </c>
      <c r="F188" s="1">
        <v>0.68</v>
      </c>
    </row>
    <row r="189" spans="5:7" x14ac:dyDescent="0.25">
      <c r="E189" s="1" t="s">
        <v>1006</v>
      </c>
      <c r="F189" s="1">
        <v>0.57999999999999996</v>
      </c>
    </row>
    <row r="190" spans="5:7" x14ac:dyDescent="0.25">
      <c r="E190" s="1" t="s">
        <v>1007</v>
      </c>
      <c r="F190" s="1">
        <v>0.53</v>
      </c>
    </row>
    <row r="191" spans="5:7" x14ac:dyDescent="0.25">
      <c r="E191" s="1" t="s">
        <v>977</v>
      </c>
      <c r="F191" s="1">
        <v>0.17</v>
      </c>
    </row>
    <row r="192" spans="5:7" x14ac:dyDescent="0.25">
      <c r="E192" s="1" t="s">
        <v>1008</v>
      </c>
      <c r="F192" s="1">
        <v>0.62</v>
      </c>
    </row>
  </sheetData>
  <mergeCells count="121">
    <mergeCell ref="C2:M2"/>
    <mergeCell ref="E95:F95"/>
    <mergeCell ref="E96:F96"/>
    <mergeCell ref="G91:G93"/>
    <mergeCell ref="H91:H93"/>
    <mergeCell ref="I91:I93"/>
    <mergeCell ref="J91:J93"/>
    <mergeCell ref="E94:F94"/>
    <mergeCell ref="E88:F88"/>
    <mergeCell ref="E89:F89"/>
    <mergeCell ref="E90:F90"/>
    <mergeCell ref="D91:D93"/>
    <mergeCell ref="E91:F91"/>
    <mergeCell ref="E92:F92"/>
    <mergeCell ref="E93:F93"/>
    <mergeCell ref="E83:F83"/>
    <mergeCell ref="E84:F84"/>
    <mergeCell ref="E85:F85"/>
    <mergeCell ref="E86:F86"/>
    <mergeCell ref="E87:F87"/>
    <mergeCell ref="E78:F78"/>
    <mergeCell ref="E79:F79"/>
    <mergeCell ref="E80:F80"/>
    <mergeCell ref="E81:F81"/>
    <mergeCell ref="E82:F82"/>
    <mergeCell ref="E73:F73"/>
    <mergeCell ref="E74:F74"/>
    <mergeCell ref="E75:F75"/>
    <mergeCell ref="E76:F76"/>
    <mergeCell ref="E77:F77"/>
    <mergeCell ref="D69:E72"/>
    <mergeCell ref="F69:F72"/>
    <mergeCell ref="H69:J69"/>
    <mergeCell ref="H70:J70"/>
    <mergeCell ref="H71:J71"/>
    <mergeCell ref="J39:K39"/>
    <mergeCell ref="H39:I39"/>
    <mergeCell ref="F39:G39"/>
    <mergeCell ref="D46:D49"/>
    <mergeCell ref="E46:E49"/>
    <mergeCell ref="G46:I46"/>
    <mergeCell ref="G47:I47"/>
    <mergeCell ref="G48:I48"/>
    <mergeCell ref="F37:G37"/>
    <mergeCell ref="H37:I37"/>
    <mergeCell ref="J37:K37"/>
    <mergeCell ref="F38:G38"/>
    <mergeCell ref="H38:I38"/>
    <mergeCell ref="J38:K38"/>
    <mergeCell ref="F35:G35"/>
    <mergeCell ref="H35:I35"/>
    <mergeCell ref="J35:K35"/>
    <mergeCell ref="F36:G36"/>
    <mergeCell ref="H36:I36"/>
    <mergeCell ref="J36:K36"/>
    <mergeCell ref="F33:G33"/>
    <mergeCell ref="H33:I33"/>
    <mergeCell ref="J33:K33"/>
    <mergeCell ref="F34:G34"/>
    <mergeCell ref="H34:I34"/>
    <mergeCell ref="J34:K34"/>
    <mergeCell ref="F31:G31"/>
    <mergeCell ref="H31:I31"/>
    <mergeCell ref="J31:K31"/>
    <mergeCell ref="F32:G32"/>
    <mergeCell ref="H32:I32"/>
    <mergeCell ref="J32:K32"/>
    <mergeCell ref="F29:G29"/>
    <mergeCell ref="H29:I29"/>
    <mergeCell ref="J29:K29"/>
    <mergeCell ref="F30:G30"/>
    <mergeCell ref="H30:I30"/>
    <mergeCell ref="J30:K30"/>
    <mergeCell ref="G20:H20"/>
    <mergeCell ref="G21:H21"/>
    <mergeCell ref="F27:G27"/>
    <mergeCell ref="H27:I27"/>
    <mergeCell ref="J27:K27"/>
    <mergeCell ref="F28:G28"/>
    <mergeCell ref="H28:I28"/>
    <mergeCell ref="J28:K28"/>
    <mergeCell ref="F26:G26"/>
    <mergeCell ref="H26:I26"/>
    <mergeCell ref="J26:K26"/>
    <mergeCell ref="F25:G25"/>
    <mergeCell ref="H25:I25"/>
    <mergeCell ref="J25:K25"/>
    <mergeCell ref="C12:M12"/>
    <mergeCell ref="D161:D166"/>
    <mergeCell ref="D140:D150"/>
    <mergeCell ref="D118:D139"/>
    <mergeCell ref="D154:D158"/>
    <mergeCell ref="N155:P155"/>
    <mergeCell ref="D151:D152"/>
    <mergeCell ref="I18:L18"/>
    <mergeCell ref="I19:L19"/>
    <mergeCell ref="I20:L20"/>
    <mergeCell ref="I21:J21"/>
    <mergeCell ref="F22:G22"/>
    <mergeCell ref="H22:I22"/>
    <mergeCell ref="J22:K22"/>
    <mergeCell ref="F23:G23"/>
    <mergeCell ref="H23:I23"/>
    <mergeCell ref="J23:K23"/>
    <mergeCell ref="F24:G24"/>
    <mergeCell ref="H24:I24"/>
    <mergeCell ref="J24:K24"/>
    <mergeCell ref="D18:D21"/>
    <mergeCell ref="E18:F21"/>
    <mergeCell ref="G18:H18"/>
    <mergeCell ref="G19:H19"/>
    <mergeCell ref="D173:E173"/>
    <mergeCell ref="I159:M159"/>
    <mergeCell ref="I167:M167"/>
    <mergeCell ref="I154:M154"/>
    <mergeCell ref="I102:M102"/>
    <mergeCell ref="D169:D170"/>
    <mergeCell ref="D104:D117"/>
    <mergeCell ref="F102:F103"/>
    <mergeCell ref="G102:H103"/>
    <mergeCell ref="E102:E103"/>
  </mergeCells>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3" tint="0.39997558519241921"/>
    <pageSetUpPr fitToPage="1"/>
  </sheetPr>
  <dimension ref="A1:AC87"/>
  <sheetViews>
    <sheetView showRowColHeaders="0" tabSelected="1" topLeftCell="A49" zoomScaleNormal="100" workbookViewId="0">
      <selection activeCell="P74" sqref="P74:V74"/>
    </sheetView>
  </sheetViews>
  <sheetFormatPr defaultColWidth="0" defaultRowHeight="12.5" zeroHeight="1" x14ac:dyDescent="0.25"/>
  <cols>
    <col min="1" max="1" width="2" style="401" customWidth="1"/>
    <col min="2" max="2" width="1.54296875" style="401" customWidth="1"/>
    <col min="3" max="3" width="24.453125" style="401" customWidth="1"/>
    <col min="4" max="4" width="18.1796875" style="401" customWidth="1"/>
    <col min="5" max="5" width="13.26953125" style="401" customWidth="1"/>
    <col min="6" max="6" width="1.54296875" style="401" customWidth="1"/>
    <col min="7" max="7" width="13" style="401" customWidth="1"/>
    <col min="8" max="8" width="1.54296875" style="401" customWidth="1"/>
    <col min="9" max="9" width="13.81640625" style="401" customWidth="1"/>
    <col min="10" max="10" width="10.54296875" style="401" customWidth="1"/>
    <col min="11" max="11" width="12.453125" style="401" customWidth="1"/>
    <col min="12" max="12" width="14.1796875" style="401" customWidth="1"/>
    <col min="13" max="13" width="3" style="401" customWidth="1"/>
    <col min="14" max="14" width="7.26953125" style="401" customWidth="1"/>
    <col min="15" max="15" width="5.453125" style="401" customWidth="1"/>
    <col min="16" max="17" width="10.54296875" style="401" customWidth="1"/>
    <col min="18" max="18" width="15.54296875" style="401" customWidth="1"/>
    <col min="19" max="19" width="4.1796875" style="401" customWidth="1"/>
    <col min="20" max="20" width="6.54296875" style="401" customWidth="1"/>
    <col min="21" max="21" width="1.453125" style="401" customWidth="1"/>
    <col min="22" max="22" width="19.7265625" style="401" customWidth="1"/>
    <col min="23" max="23" width="2.26953125" style="401" customWidth="1"/>
    <col min="24" max="24" width="9.1796875" style="401" customWidth="1"/>
    <col min="25" max="25" width="9.1796875" style="401" hidden="1" customWidth="1"/>
    <col min="26" max="29" width="0" style="401" hidden="1" customWidth="1"/>
    <col min="30" max="16384" width="9.1796875" style="401" hidden="1"/>
  </cols>
  <sheetData>
    <row r="1" spans="1:28" ht="6" customHeight="1" x14ac:dyDescent="0.25"/>
    <row r="2" spans="1:28" ht="6" customHeight="1" x14ac:dyDescent="0.25"/>
    <row r="3" spans="1:28" ht="28" x14ac:dyDescent="0.6">
      <c r="C3" s="614" t="s">
        <v>756</v>
      </c>
      <c r="D3" s="614"/>
      <c r="E3" s="614"/>
      <c r="F3" s="614"/>
      <c r="G3" s="614"/>
      <c r="H3" s="614"/>
      <c r="I3" s="614"/>
      <c r="J3" s="614"/>
      <c r="K3" s="614"/>
      <c r="L3" s="614"/>
      <c r="M3" s="614"/>
      <c r="N3" s="614"/>
      <c r="O3" s="614"/>
      <c r="P3" s="614"/>
      <c r="Q3" s="614"/>
      <c r="R3" s="614"/>
      <c r="S3" s="614"/>
      <c r="T3" s="430"/>
      <c r="U3" s="430"/>
      <c r="V3" s="430"/>
    </row>
    <row r="4" spans="1:28" ht="18" customHeight="1" x14ac:dyDescent="0.25"/>
    <row r="5" spans="1:28" s="402" customFormat="1" ht="8.25" customHeight="1" x14ac:dyDescent="0.25">
      <c r="A5" s="401"/>
      <c r="G5" s="401"/>
      <c r="T5" s="401"/>
      <c r="U5" s="401"/>
      <c r="V5" s="401"/>
      <c r="W5" s="401"/>
      <c r="X5" s="401"/>
      <c r="Y5" s="401"/>
      <c r="Z5" s="401"/>
      <c r="AA5" s="401"/>
      <c r="AB5" s="401"/>
    </row>
    <row r="6" spans="1:28" s="402" customFormat="1" ht="17" thickBot="1" x14ac:dyDescent="0.4">
      <c r="A6" s="401"/>
      <c r="C6" s="403" t="s">
        <v>928</v>
      </c>
      <c r="D6" s="403"/>
      <c r="E6" s="403"/>
      <c r="G6" s="401"/>
      <c r="I6" s="403" t="s">
        <v>929</v>
      </c>
      <c r="J6" s="403"/>
      <c r="K6" s="403"/>
      <c r="L6" s="403"/>
      <c r="M6" s="403"/>
      <c r="N6" s="403"/>
      <c r="O6" s="403"/>
      <c r="P6" s="403"/>
      <c r="Q6" s="403"/>
      <c r="R6" s="403"/>
      <c r="T6" s="401"/>
      <c r="U6" s="401"/>
      <c r="V6" s="401"/>
      <c r="W6" s="401"/>
      <c r="X6" s="401"/>
      <c r="Y6" s="401"/>
      <c r="Z6" s="401"/>
      <c r="AA6" s="401"/>
      <c r="AB6" s="401"/>
    </row>
    <row r="7" spans="1:28" s="402" customFormat="1" ht="13" thickTop="1" x14ac:dyDescent="0.25">
      <c r="A7" s="401"/>
      <c r="G7" s="401"/>
      <c r="T7" s="401"/>
      <c r="U7" s="401"/>
      <c r="V7" s="401"/>
      <c r="W7" s="401"/>
      <c r="X7" s="401"/>
      <c r="Y7" s="401"/>
      <c r="Z7" s="401"/>
      <c r="AA7" s="401"/>
      <c r="AB7" s="401"/>
    </row>
    <row r="8" spans="1:28" s="402" customFormat="1" ht="18" customHeight="1" x14ac:dyDescent="0.3">
      <c r="A8" s="401"/>
      <c r="C8" s="404" t="s">
        <v>669</v>
      </c>
      <c r="G8" s="401"/>
      <c r="I8" s="404" t="s">
        <v>694</v>
      </c>
      <c r="M8" s="405"/>
      <c r="N8" s="404" t="s">
        <v>678</v>
      </c>
      <c r="O8" s="405"/>
      <c r="T8" s="401"/>
      <c r="U8" s="401"/>
      <c r="V8" s="401"/>
      <c r="W8" s="401"/>
      <c r="X8" s="401"/>
      <c r="Y8" s="401"/>
      <c r="Z8" s="401"/>
      <c r="AA8" s="401"/>
      <c r="AB8" s="401"/>
    </row>
    <row r="9" spans="1:28" s="402" customFormat="1" ht="12" customHeight="1" x14ac:dyDescent="0.3">
      <c r="A9" s="401"/>
      <c r="C9" s="404"/>
      <c r="G9" s="401"/>
      <c r="I9" s="404" t="s">
        <v>695</v>
      </c>
      <c r="M9" s="405"/>
      <c r="N9" s="406" t="s">
        <v>696</v>
      </c>
      <c r="O9" s="405"/>
      <c r="T9" s="401"/>
      <c r="U9" s="401"/>
      <c r="V9" s="401"/>
      <c r="W9" s="401"/>
      <c r="X9" s="401"/>
      <c r="Y9" s="401"/>
      <c r="Z9" s="401"/>
      <c r="AA9" s="401"/>
      <c r="AB9" s="401"/>
    </row>
    <row r="10" spans="1:28" s="402" customFormat="1" ht="13" x14ac:dyDescent="0.3">
      <c r="A10" s="401"/>
      <c r="C10" s="627" t="s">
        <v>1077</v>
      </c>
      <c r="D10" s="627"/>
      <c r="E10" s="627"/>
      <c r="G10" s="401"/>
      <c r="T10" s="401"/>
      <c r="U10" s="401"/>
      <c r="V10" s="401"/>
      <c r="W10" s="401"/>
      <c r="X10" s="401"/>
      <c r="Y10" s="401"/>
      <c r="Z10" s="401"/>
      <c r="AA10" s="401"/>
      <c r="AB10" s="401"/>
    </row>
    <row r="11" spans="1:28" s="402" customFormat="1" ht="14" x14ac:dyDescent="0.3">
      <c r="A11" s="401"/>
      <c r="D11" s="556" t="str">
        <f>IF(OR(AND(D12="WA",D13&lt;&gt;'Drop-downs'!U18,D13&lt;&gt;'Drop-downs'!U19),AND(D12="NT",D13&lt;&gt;'Drop-downs'!U22,D13&lt;&gt;'Drop-downs'!U21)),"Check electricity connection","OK")</f>
        <v>OK</v>
      </c>
      <c r="G11" s="401"/>
      <c r="I11" s="402" t="s">
        <v>679</v>
      </c>
      <c r="J11" s="407" t="s">
        <v>426</v>
      </c>
      <c r="K11" s="407" t="s">
        <v>425</v>
      </c>
      <c r="L11" s="402" t="s">
        <v>90</v>
      </c>
      <c r="N11" s="402" t="s">
        <v>599</v>
      </c>
      <c r="P11" s="402" t="s">
        <v>600</v>
      </c>
      <c r="Q11" s="463" t="s">
        <v>601</v>
      </c>
      <c r="T11" s="401"/>
      <c r="U11" s="401"/>
      <c r="V11" s="401"/>
      <c r="W11" s="401"/>
      <c r="X11" s="401"/>
      <c r="Y11" s="401"/>
      <c r="Z11" s="401"/>
      <c r="AA11" s="401"/>
      <c r="AB11" s="401"/>
    </row>
    <row r="12" spans="1:28" s="402" customFormat="1" ht="13" x14ac:dyDescent="0.3">
      <c r="A12" s="401"/>
      <c r="C12" s="402" t="s">
        <v>980</v>
      </c>
      <c r="D12" s="627" t="s">
        <v>973</v>
      </c>
      <c r="E12" s="627"/>
      <c r="G12" s="401"/>
      <c r="I12" s="407" t="s">
        <v>69</v>
      </c>
      <c r="J12" s="524" t="s">
        <v>753</v>
      </c>
      <c r="K12" s="525">
        <v>40000</v>
      </c>
      <c r="L12" s="594" t="s">
        <v>692</v>
      </c>
      <c r="M12" s="594"/>
      <c r="N12" s="572">
        <v>284</v>
      </c>
      <c r="O12" s="573"/>
      <c r="P12" s="387"/>
      <c r="Q12" s="493" t="str">
        <f>IF(L12='Drop-downs'!$E$18,"",IF(IFERROR(AND(ISNUMBER(P12),P12&gt;0),FALSE),P12,N12))</f>
        <v/>
      </c>
      <c r="T12" s="401"/>
      <c r="U12" s="401"/>
      <c r="V12" s="401"/>
      <c r="W12" s="401"/>
      <c r="X12" s="401"/>
      <c r="Y12" s="401"/>
      <c r="Z12" s="401"/>
      <c r="AA12" s="401"/>
      <c r="AB12" s="401"/>
    </row>
    <row r="13" spans="1:28" s="402" customFormat="1" ht="13" x14ac:dyDescent="0.3">
      <c r="A13" s="401"/>
      <c r="C13" s="629" t="s">
        <v>999</v>
      </c>
      <c r="D13" s="628" t="s">
        <v>1002</v>
      </c>
      <c r="E13" s="628"/>
      <c r="G13" s="401"/>
      <c r="I13" s="407" t="s">
        <v>89</v>
      </c>
      <c r="J13" s="524" t="s">
        <v>753</v>
      </c>
      <c r="K13" s="525"/>
      <c r="L13" s="594" t="s">
        <v>692</v>
      </c>
      <c r="M13" s="594"/>
      <c r="N13" s="572">
        <v>158</v>
      </c>
      <c r="O13" s="573"/>
      <c r="P13" s="387"/>
      <c r="Q13" s="493" t="str">
        <f>IF(L13='Drop-downs'!$E$18,"",IF(IFERROR(AND(ISNUMBER(P13),P13&gt;0),FALSE),P13,N13))</f>
        <v/>
      </c>
      <c r="T13" s="401"/>
      <c r="U13" s="401"/>
      <c r="V13" s="401"/>
      <c r="W13" s="401"/>
      <c r="X13" s="401"/>
      <c r="Y13" s="401"/>
      <c r="Z13" s="401"/>
      <c r="AA13" s="401"/>
      <c r="AB13" s="401"/>
    </row>
    <row r="14" spans="1:28" s="402" customFormat="1" ht="13" x14ac:dyDescent="0.3">
      <c r="A14" s="401"/>
      <c r="C14" s="629"/>
      <c r="D14" s="628"/>
      <c r="E14" s="628"/>
      <c r="G14" s="401"/>
      <c r="I14" s="407" t="s">
        <v>874</v>
      </c>
      <c r="J14" s="524" t="s">
        <v>753</v>
      </c>
      <c r="K14" s="525"/>
      <c r="L14" s="594" t="s">
        <v>692</v>
      </c>
      <c r="M14" s="594"/>
      <c r="N14" s="572">
        <v>72</v>
      </c>
      <c r="O14" s="573"/>
      <c r="P14" s="387"/>
      <c r="Q14" s="493" t="str">
        <f>IF(L14='Drop-downs'!$E$18,"",IF(IFERROR(AND(ISNUMBER(P14),P14&gt;0),FALSE),P14,N14))</f>
        <v/>
      </c>
      <c r="T14" s="401"/>
      <c r="U14" s="401"/>
      <c r="V14" s="401"/>
      <c r="W14" s="401"/>
      <c r="X14" s="401"/>
      <c r="Y14" s="401"/>
      <c r="Z14" s="401"/>
      <c r="AA14" s="401"/>
      <c r="AB14" s="401"/>
    </row>
    <row r="15" spans="1:28" s="402" customFormat="1" ht="13" x14ac:dyDescent="0.3">
      <c r="A15" s="401"/>
      <c r="C15" s="404" t="s">
        <v>380</v>
      </c>
      <c r="G15" s="401"/>
      <c r="I15" s="407" t="s">
        <v>70</v>
      </c>
      <c r="J15" s="524" t="s">
        <v>753</v>
      </c>
      <c r="K15" s="525"/>
      <c r="L15" s="594" t="s">
        <v>692</v>
      </c>
      <c r="M15" s="594"/>
      <c r="N15" s="572">
        <v>48</v>
      </c>
      <c r="O15" s="573"/>
      <c r="P15" s="387"/>
      <c r="Q15" s="493" t="str">
        <f>IF(L15='Drop-downs'!$E$18,"",IF(IFERROR(AND(ISNUMBER(P15),P15&gt;0),FALSE),P15,N15))</f>
        <v/>
      </c>
      <c r="T15" s="401"/>
      <c r="U15" s="401"/>
      <c r="V15" s="401"/>
      <c r="W15" s="401"/>
      <c r="X15" s="401"/>
      <c r="Y15" s="401"/>
      <c r="Z15" s="401"/>
      <c r="AA15" s="401"/>
      <c r="AB15" s="401"/>
    </row>
    <row r="16" spans="1:28" s="402" customFormat="1" ht="13" x14ac:dyDescent="0.3">
      <c r="A16" s="401"/>
      <c r="D16" s="402" t="s">
        <v>885</v>
      </c>
      <c r="E16" s="402" t="s">
        <v>886</v>
      </c>
      <c r="G16" s="401"/>
      <c r="I16" s="407" t="s">
        <v>875</v>
      </c>
      <c r="J16" s="524" t="s">
        <v>753</v>
      </c>
      <c r="K16" s="525"/>
      <c r="L16" s="594" t="s">
        <v>692</v>
      </c>
      <c r="M16" s="594"/>
      <c r="N16" s="572">
        <v>48</v>
      </c>
      <c r="O16" s="573"/>
      <c r="P16" s="387"/>
      <c r="Q16" s="493" t="str">
        <f>IF(L16='Drop-downs'!$E$18,"",IF(IFERROR(AND(ISNUMBER(P16),P16&gt;0),FALSE),P16,N16))</f>
        <v/>
      </c>
      <c r="T16" s="401"/>
      <c r="U16" s="401"/>
      <c r="V16" s="401"/>
      <c r="W16" s="401"/>
      <c r="X16" s="401"/>
      <c r="Y16" s="401"/>
      <c r="Z16" s="401"/>
      <c r="AA16" s="401"/>
      <c r="AB16" s="401"/>
    </row>
    <row r="17" spans="1:28" s="402" customFormat="1" ht="13" x14ac:dyDescent="0.3">
      <c r="A17" s="401"/>
      <c r="C17" s="407" t="s">
        <v>1</v>
      </c>
      <c r="D17" s="499" t="s">
        <v>77</v>
      </c>
      <c r="E17" s="505">
        <v>1</v>
      </c>
      <c r="G17" s="401"/>
      <c r="I17" s="407" t="s">
        <v>102</v>
      </c>
      <c r="J17" s="524" t="s">
        <v>753</v>
      </c>
      <c r="K17" s="525"/>
      <c r="L17" s="594" t="s">
        <v>692</v>
      </c>
      <c r="M17" s="594"/>
      <c r="N17" s="572">
        <v>24</v>
      </c>
      <c r="O17" s="573"/>
      <c r="P17" s="387"/>
      <c r="Q17" s="493" t="str">
        <f>IF(L17='Drop-downs'!$E$18,"",IF(IFERROR(AND(ISNUMBER(P17),P17&gt;0),FALSE),P17,N17))</f>
        <v/>
      </c>
      <c r="T17" s="401"/>
      <c r="U17" s="401"/>
      <c r="V17" s="401"/>
      <c r="W17" s="401"/>
      <c r="X17" s="401"/>
      <c r="Y17" s="401"/>
      <c r="Z17" s="401"/>
      <c r="AA17" s="401"/>
      <c r="AB17" s="401"/>
    </row>
    <row r="18" spans="1:28" s="402" customFormat="1" ht="13" x14ac:dyDescent="0.3">
      <c r="A18" s="401"/>
      <c r="C18" s="407" t="s">
        <v>2</v>
      </c>
      <c r="D18" s="499" t="s">
        <v>77</v>
      </c>
      <c r="E18" s="505">
        <v>1</v>
      </c>
      <c r="G18" s="401"/>
      <c r="I18" s="407" t="s">
        <v>101</v>
      </c>
      <c r="J18" s="526" t="s">
        <v>753</v>
      </c>
      <c r="K18" s="525"/>
      <c r="L18" s="594" t="s">
        <v>692</v>
      </c>
      <c r="M18" s="594"/>
      <c r="N18" s="572">
        <v>19</v>
      </c>
      <c r="O18" s="573"/>
      <c r="P18" s="387"/>
      <c r="Q18" s="493" t="str">
        <f>IF(L18='Drop-downs'!$E$18,"",IF(IFERROR(AND(ISNUMBER(P18),P18&gt;0),FALSE),P18,N18))</f>
        <v/>
      </c>
      <c r="T18" s="401"/>
      <c r="U18" s="401"/>
      <c r="V18" s="401"/>
      <c r="W18" s="401"/>
      <c r="X18" s="401"/>
      <c r="Y18" s="401"/>
      <c r="Z18" s="401"/>
      <c r="AA18" s="401"/>
      <c r="AB18" s="401"/>
    </row>
    <row r="19" spans="1:28" s="402" customFormat="1" ht="13" x14ac:dyDescent="0.3">
      <c r="A19" s="401"/>
      <c r="C19" s="407" t="s">
        <v>4</v>
      </c>
      <c r="D19" s="499" t="s">
        <v>71</v>
      </c>
      <c r="E19" s="505">
        <v>1</v>
      </c>
      <c r="G19" s="401"/>
      <c r="I19" s="565" t="s">
        <v>1076</v>
      </c>
      <c r="J19" s="564">
        <v>45000</v>
      </c>
      <c r="K19" s="527">
        <f>Calculations!H59</f>
        <v>40000</v>
      </c>
      <c r="L19" s="615" t="str">
        <f>'Drop-downs'!$E$18</f>
        <v>tHSCW / yr</v>
      </c>
      <c r="M19" s="615"/>
      <c r="T19" s="401"/>
      <c r="U19" s="401"/>
      <c r="V19" s="401"/>
      <c r="W19" s="401"/>
      <c r="X19" s="401"/>
      <c r="Y19" s="401"/>
      <c r="Z19" s="401"/>
      <c r="AA19" s="401"/>
      <c r="AB19" s="401"/>
    </row>
    <row r="20" spans="1:28" s="402" customFormat="1" ht="13" x14ac:dyDescent="0.3">
      <c r="A20" s="401"/>
      <c r="C20" s="407" t="s">
        <v>7</v>
      </c>
      <c r="D20" s="499" t="s">
        <v>77</v>
      </c>
      <c r="E20" s="505">
        <v>1</v>
      </c>
      <c r="G20" s="401"/>
      <c r="T20" s="401"/>
      <c r="U20" s="401"/>
      <c r="V20" s="401"/>
      <c r="W20" s="401"/>
      <c r="X20" s="401"/>
      <c r="Y20" s="401"/>
      <c r="Z20" s="401"/>
      <c r="AA20" s="401"/>
      <c r="AB20" s="401"/>
    </row>
    <row r="21" spans="1:28" s="402" customFormat="1" ht="13" x14ac:dyDescent="0.3">
      <c r="A21" s="401"/>
      <c r="C21" s="407" t="s">
        <v>11</v>
      </c>
      <c r="D21" s="499" t="s">
        <v>77</v>
      </c>
      <c r="E21" s="505">
        <v>1</v>
      </c>
      <c r="G21" s="401"/>
      <c r="I21" s="402" t="str">
        <f>IFERROR("Based on these figures you operated at "&amp;ROUND(Calculations!I140/Calculations!I141*100,0)&amp;"% of maximum production for the year"&amp;IF(Calculations!I140/Calculations!I141&gt;1,", which will be modelled as 100%","")&amp;". Adjust the figures if this is not correct.","Input data into the yellow cells.")</f>
        <v>Based on these figures you operated at 89% of maximum production for the year. Adjust the figures if this is not correct.</v>
      </c>
      <c r="T21" s="401"/>
      <c r="U21" s="401"/>
      <c r="V21" s="401"/>
      <c r="W21" s="401"/>
      <c r="X21" s="401"/>
      <c r="Y21" s="401"/>
      <c r="Z21" s="401"/>
      <c r="AA21" s="401"/>
      <c r="AB21" s="401"/>
    </row>
    <row r="22" spans="1:28" s="402" customFormat="1" ht="13" x14ac:dyDescent="0.3">
      <c r="A22" s="401"/>
      <c r="C22" s="407" t="s">
        <v>10</v>
      </c>
      <c r="D22" s="499" t="s">
        <v>77</v>
      </c>
      <c r="E22" s="505">
        <v>1</v>
      </c>
      <c r="G22" s="401"/>
      <c r="T22" s="401"/>
      <c r="U22" s="401"/>
      <c r="V22" s="401"/>
      <c r="W22" s="401"/>
      <c r="X22" s="401"/>
      <c r="Y22" s="401"/>
      <c r="Z22" s="401"/>
      <c r="AA22" s="401"/>
      <c r="AB22" s="401"/>
    </row>
    <row r="23" spans="1:28" s="402" customFormat="1" x14ac:dyDescent="0.25">
      <c r="A23" s="401"/>
      <c r="G23" s="401"/>
      <c r="T23" s="401"/>
      <c r="U23" s="401"/>
      <c r="V23" s="401"/>
      <c r="W23" s="401"/>
      <c r="X23" s="401"/>
      <c r="Y23" s="401"/>
      <c r="Z23" s="401"/>
      <c r="AA23" s="401"/>
      <c r="AB23" s="401"/>
    </row>
    <row r="24" spans="1:28" s="402" customFormat="1" x14ac:dyDescent="0.25">
      <c r="A24" s="401"/>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row>
    <row r="25" spans="1:28" s="402" customFormat="1" x14ac:dyDescent="0.25">
      <c r="A25" s="401"/>
      <c r="T25" s="401"/>
      <c r="U25" s="401"/>
      <c r="V25" s="401"/>
      <c r="W25" s="401"/>
      <c r="X25" s="401"/>
      <c r="Y25" s="401"/>
      <c r="Z25" s="401"/>
      <c r="AA25" s="401"/>
      <c r="AB25" s="401"/>
    </row>
    <row r="26" spans="1:28" s="402" customFormat="1" ht="17" thickBot="1" x14ac:dyDescent="0.4">
      <c r="A26" s="401"/>
      <c r="C26" s="403" t="s">
        <v>930</v>
      </c>
      <c r="D26" s="403"/>
      <c r="E26" s="403"/>
      <c r="F26" s="403"/>
      <c r="G26" s="403"/>
      <c r="H26" s="403"/>
      <c r="I26" s="403"/>
      <c r="J26" s="403"/>
      <c r="K26" s="403"/>
      <c r="L26" s="403"/>
      <c r="M26" s="403"/>
      <c r="N26" s="403"/>
      <c r="O26" s="403"/>
      <c r="P26" s="403"/>
      <c r="Q26" s="403"/>
      <c r="R26" s="403"/>
      <c r="T26" s="401"/>
      <c r="U26" s="401"/>
      <c r="V26" s="401"/>
      <c r="W26" s="401"/>
      <c r="X26" s="401"/>
      <c r="Y26" s="401"/>
      <c r="Z26" s="401"/>
      <c r="AA26" s="401"/>
      <c r="AB26" s="401"/>
    </row>
    <row r="27" spans="1:28" s="402" customFormat="1" ht="13" thickTop="1" x14ac:dyDescent="0.25">
      <c r="A27" s="401"/>
      <c r="C27" s="406" t="s">
        <v>767</v>
      </c>
      <c r="T27" s="401"/>
      <c r="U27" s="401"/>
      <c r="V27" s="401"/>
      <c r="W27" s="401"/>
      <c r="X27" s="401"/>
      <c r="Y27" s="401"/>
      <c r="Z27" s="401"/>
      <c r="AA27" s="401"/>
      <c r="AB27" s="401"/>
    </row>
    <row r="28" spans="1:28" s="402" customFormat="1" ht="11.25" customHeight="1" x14ac:dyDescent="0.25">
      <c r="A28" s="401"/>
      <c r="C28" s="406"/>
      <c r="T28" s="401"/>
      <c r="U28" s="401"/>
      <c r="V28" s="401"/>
      <c r="W28" s="401"/>
      <c r="X28" s="401"/>
      <c r="Y28" s="401"/>
      <c r="Z28" s="401"/>
      <c r="AA28" s="401"/>
      <c r="AB28" s="401"/>
    </row>
    <row r="29" spans="1:28" s="402" customFormat="1" ht="13" x14ac:dyDescent="0.3">
      <c r="A29" s="401"/>
      <c r="C29" s="404" t="s">
        <v>931</v>
      </c>
      <c r="D29" s="499" t="s">
        <v>672</v>
      </c>
      <c r="I29" s="404" t="s">
        <v>933</v>
      </c>
      <c r="K29" s="499" t="s">
        <v>77</v>
      </c>
      <c r="N29" s="404" t="s">
        <v>935</v>
      </c>
      <c r="Q29" s="499" t="s">
        <v>77</v>
      </c>
      <c r="T29" s="401"/>
      <c r="U29" s="401"/>
      <c r="V29" s="401"/>
      <c r="W29" s="401"/>
      <c r="X29" s="401"/>
      <c r="Y29" s="401"/>
      <c r="Z29" s="401"/>
      <c r="AA29" s="401"/>
      <c r="AB29" s="401"/>
    </row>
    <row r="30" spans="1:28" s="402" customFormat="1" ht="13" x14ac:dyDescent="0.3">
      <c r="A30" s="401"/>
      <c r="C30" s="404" t="s">
        <v>717</v>
      </c>
      <c r="D30" s="521"/>
      <c r="G30" s="405"/>
      <c r="I30" s="404" t="s">
        <v>941</v>
      </c>
      <c r="K30" s="521"/>
      <c r="N30" s="404" t="s">
        <v>1056</v>
      </c>
      <c r="Q30" s="521"/>
      <c r="T30" s="401"/>
      <c r="U30" s="401"/>
      <c r="V30" s="401"/>
      <c r="W30" s="401"/>
      <c r="X30" s="401"/>
      <c r="Y30" s="401"/>
      <c r="Z30" s="401"/>
      <c r="AA30" s="401"/>
      <c r="AB30" s="401"/>
    </row>
    <row r="31" spans="1:28" s="402" customFormat="1" ht="12.75" customHeight="1" x14ac:dyDescent="0.3">
      <c r="A31" s="401"/>
      <c r="C31" s="402" t="s">
        <v>904</v>
      </c>
      <c r="D31" s="523">
        <v>38000</v>
      </c>
      <c r="I31" s="402" t="s">
        <v>906</v>
      </c>
      <c r="K31" s="523">
        <v>34000</v>
      </c>
      <c r="N31" s="402" t="s">
        <v>910</v>
      </c>
      <c r="Q31" s="523">
        <v>4000</v>
      </c>
      <c r="T31" s="401"/>
      <c r="U31" s="401"/>
      <c r="V31" s="401"/>
      <c r="W31" s="401"/>
      <c r="X31" s="401"/>
      <c r="Y31" s="401"/>
      <c r="Z31" s="401"/>
      <c r="AA31" s="401"/>
      <c r="AB31" s="401"/>
    </row>
    <row r="32" spans="1:28" s="402" customFormat="1" ht="13" x14ac:dyDescent="0.3">
      <c r="A32" s="401"/>
      <c r="C32" s="402" t="s">
        <v>905</v>
      </c>
      <c r="D32" s="523"/>
      <c r="I32" s="402" t="s">
        <v>909</v>
      </c>
      <c r="K32" s="523">
        <v>4000</v>
      </c>
      <c r="N32" s="402" t="s">
        <v>911</v>
      </c>
      <c r="Q32" s="523">
        <v>34000</v>
      </c>
      <c r="T32" s="401"/>
      <c r="U32" s="401"/>
      <c r="V32" s="401"/>
      <c r="W32" s="401"/>
      <c r="X32" s="401"/>
      <c r="Y32" s="401"/>
      <c r="Z32" s="401"/>
      <c r="AA32" s="401"/>
      <c r="AB32" s="401"/>
    </row>
    <row r="33" spans="1:28" s="402" customFormat="1" x14ac:dyDescent="0.25">
      <c r="A33" s="401"/>
      <c r="D33" s="521"/>
      <c r="K33" s="521"/>
      <c r="T33" s="401"/>
      <c r="U33" s="401"/>
      <c r="V33" s="401"/>
      <c r="W33" s="401"/>
      <c r="X33" s="401"/>
      <c r="Y33" s="401"/>
      <c r="Z33" s="401"/>
      <c r="AA33" s="401"/>
      <c r="AB33" s="401"/>
    </row>
    <row r="34" spans="1:28" s="402" customFormat="1" x14ac:dyDescent="0.25">
      <c r="A34" s="401"/>
      <c r="D34" s="521"/>
      <c r="K34" s="521"/>
      <c r="T34" s="401"/>
      <c r="U34" s="401"/>
      <c r="V34" s="401"/>
      <c r="W34" s="401"/>
      <c r="X34" s="401"/>
      <c r="Y34" s="401"/>
      <c r="Z34" s="401"/>
      <c r="AA34" s="401"/>
      <c r="AB34" s="401"/>
    </row>
    <row r="35" spans="1:28" s="402" customFormat="1" ht="13" x14ac:dyDescent="0.3">
      <c r="A35" s="401"/>
      <c r="C35" s="404" t="s">
        <v>932</v>
      </c>
      <c r="D35" s="499" t="s">
        <v>71</v>
      </c>
      <c r="I35" s="404" t="s">
        <v>934</v>
      </c>
      <c r="K35" s="499" t="s">
        <v>77</v>
      </c>
      <c r="T35" s="401"/>
      <c r="U35" s="401"/>
      <c r="V35" s="401"/>
      <c r="W35" s="401"/>
      <c r="X35" s="401"/>
      <c r="Y35" s="401"/>
      <c r="Z35" s="401"/>
      <c r="AA35" s="401"/>
      <c r="AB35" s="401"/>
    </row>
    <row r="36" spans="1:28" s="402" customFormat="1" ht="13" x14ac:dyDescent="0.3">
      <c r="A36" s="401"/>
      <c r="C36" s="404" t="s">
        <v>887</v>
      </c>
      <c r="D36" s="521"/>
      <c r="I36" s="404" t="s">
        <v>902</v>
      </c>
      <c r="K36" s="521"/>
      <c r="T36" s="401"/>
      <c r="U36" s="401"/>
      <c r="V36" s="401"/>
      <c r="W36" s="401"/>
      <c r="X36" s="401"/>
      <c r="Y36" s="401"/>
      <c r="Z36" s="401"/>
      <c r="AA36" s="401"/>
      <c r="AB36" s="401"/>
    </row>
    <row r="37" spans="1:28" s="402" customFormat="1" ht="13" x14ac:dyDescent="0.3">
      <c r="A37" s="401"/>
      <c r="C37" s="513" t="s">
        <v>908</v>
      </c>
      <c r="D37" s="523"/>
      <c r="I37" s="513" t="s">
        <v>907</v>
      </c>
      <c r="K37" s="523">
        <v>3400</v>
      </c>
      <c r="T37" s="401"/>
      <c r="U37" s="401"/>
      <c r="V37" s="401"/>
      <c r="W37" s="401"/>
      <c r="X37" s="401"/>
      <c r="Y37" s="401"/>
      <c r="Z37" s="401"/>
      <c r="AA37" s="401"/>
      <c r="AB37" s="401"/>
    </row>
    <row r="38" spans="1:28" s="402" customFormat="1" x14ac:dyDescent="0.25">
      <c r="A38" s="401"/>
      <c r="C38" s="406" t="s">
        <v>939</v>
      </c>
      <c r="D38" s="521"/>
      <c r="I38" s="406" t="s">
        <v>940</v>
      </c>
      <c r="K38" s="521"/>
      <c r="T38" s="401"/>
      <c r="U38" s="401"/>
      <c r="V38" s="401"/>
      <c r="W38" s="401"/>
      <c r="X38" s="401"/>
      <c r="Y38" s="401"/>
      <c r="Z38" s="401"/>
      <c r="AA38" s="401"/>
      <c r="AB38" s="401"/>
    </row>
    <row r="39" spans="1:28" s="402" customFormat="1" ht="13" x14ac:dyDescent="0.3">
      <c r="A39" s="401"/>
      <c r="C39" s="513" t="s">
        <v>892</v>
      </c>
      <c r="D39" s="522" t="s">
        <v>77</v>
      </c>
      <c r="I39" s="513" t="s">
        <v>921</v>
      </c>
      <c r="K39" s="522" t="s">
        <v>77</v>
      </c>
      <c r="T39" s="401"/>
      <c r="U39" s="401"/>
      <c r="V39" s="401"/>
      <c r="W39" s="401"/>
      <c r="X39" s="401"/>
      <c r="Y39" s="401"/>
      <c r="Z39" s="401"/>
      <c r="AA39" s="401"/>
      <c r="AB39" s="401"/>
    </row>
    <row r="40" spans="1:28" s="402" customFormat="1" ht="13" x14ac:dyDescent="0.3">
      <c r="A40" s="401"/>
      <c r="C40" s="513" t="s">
        <v>893</v>
      </c>
      <c r="D40" s="522" t="s">
        <v>77</v>
      </c>
      <c r="I40" s="513" t="s">
        <v>922</v>
      </c>
      <c r="K40" s="522" t="s">
        <v>77</v>
      </c>
      <c r="T40" s="401"/>
      <c r="U40" s="401"/>
      <c r="V40" s="401"/>
      <c r="W40" s="401"/>
      <c r="X40" s="401"/>
      <c r="Y40" s="401"/>
      <c r="Z40" s="401"/>
      <c r="AA40" s="401"/>
      <c r="AB40" s="401"/>
    </row>
    <row r="41" spans="1:28" s="402" customFormat="1" ht="13" x14ac:dyDescent="0.3">
      <c r="A41" s="401"/>
      <c r="C41" s="513" t="s">
        <v>894</v>
      </c>
      <c r="D41" s="522" t="s">
        <v>77</v>
      </c>
      <c r="I41" s="513" t="s">
        <v>923</v>
      </c>
      <c r="K41" s="522" t="s">
        <v>77</v>
      </c>
      <c r="T41" s="401"/>
      <c r="U41" s="401"/>
      <c r="V41" s="401"/>
      <c r="W41" s="401"/>
      <c r="X41" s="401"/>
      <c r="Y41" s="401"/>
      <c r="Z41" s="401"/>
      <c r="AA41" s="401"/>
      <c r="AB41" s="401"/>
    </row>
    <row r="42" spans="1:28" s="402" customFormat="1" ht="13" x14ac:dyDescent="0.3">
      <c r="A42" s="401"/>
      <c r="C42" s="513" t="s">
        <v>900</v>
      </c>
      <c r="D42" s="522" t="s">
        <v>71</v>
      </c>
      <c r="I42" s="513" t="s">
        <v>920</v>
      </c>
      <c r="K42" s="522" t="s">
        <v>77</v>
      </c>
      <c r="T42" s="401"/>
      <c r="U42" s="401"/>
      <c r="V42" s="401"/>
      <c r="W42" s="401"/>
      <c r="X42" s="401"/>
      <c r="Y42" s="401"/>
      <c r="Z42" s="401"/>
      <c r="AA42" s="401"/>
      <c r="AB42" s="401"/>
    </row>
    <row r="43" spans="1:28" s="402" customFormat="1" x14ac:dyDescent="0.25">
      <c r="A43" s="401"/>
      <c r="T43" s="401"/>
      <c r="U43" s="401"/>
      <c r="V43" s="401"/>
      <c r="W43" s="401"/>
      <c r="X43" s="401"/>
      <c r="Y43" s="401"/>
      <c r="Z43" s="401"/>
      <c r="AA43" s="401"/>
      <c r="AB43" s="401"/>
    </row>
    <row r="44" spans="1:28" x14ac:dyDescent="0.25"/>
    <row r="45" spans="1:28" s="402" customFormat="1" ht="8.25" customHeight="1" x14ac:dyDescent="0.25">
      <c r="A45" s="401"/>
      <c r="N45" s="401"/>
      <c r="T45" s="401"/>
      <c r="U45" s="401"/>
      <c r="V45" s="401"/>
      <c r="W45" s="401"/>
      <c r="X45" s="401"/>
      <c r="Y45" s="401"/>
      <c r="Z45" s="401"/>
      <c r="AA45" s="401"/>
      <c r="AB45" s="401"/>
    </row>
    <row r="46" spans="1:28" s="402" customFormat="1" ht="17" thickBot="1" x14ac:dyDescent="0.4">
      <c r="A46" s="401"/>
      <c r="C46" s="403" t="s">
        <v>936</v>
      </c>
      <c r="D46" s="403"/>
      <c r="E46" s="403"/>
      <c r="F46" s="403"/>
      <c r="G46" s="403"/>
      <c r="H46" s="403"/>
      <c r="I46" s="403"/>
      <c r="J46" s="403"/>
      <c r="K46" s="403"/>
      <c r="L46" s="403"/>
      <c r="N46" s="401"/>
      <c r="P46" s="403" t="s">
        <v>937</v>
      </c>
      <c r="Q46" s="403"/>
      <c r="R46" s="403"/>
      <c r="T46" s="401"/>
      <c r="U46" s="401"/>
      <c r="V46" s="401"/>
      <c r="W46" s="401"/>
      <c r="X46" s="401"/>
      <c r="Y46" s="401"/>
      <c r="Z46" s="401"/>
      <c r="AA46" s="401"/>
      <c r="AB46" s="401"/>
    </row>
    <row r="47" spans="1:28" s="402" customFormat="1" ht="14.25" customHeight="1" thickTop="1" x14ac:dyDescent="0.25">
      <c r="A47" s="401"/>
      <c r="D47" s="408"/>
      <c r="E47" s="408"/>
      <c r="F47" s="408"/>
      <c r="G47" s="408"/>
      <c r="N47" s="401"/>
      <c r="T47" s="401"/>
      <c r="U47" s="401"/>
      <c r="V47" s="401"/>
      <c r="W47" s="401"/>
      <c r="X47" s="401"/>
      <c r="Y47" s="401"/>
      <c r="Z47" s="401"/>
      <c r="AA47" s="401"/>
      <c r="AB47" s="401"/>
    </row>
    <row r="48" spans="1:28" s="402" customFormat="1" ht="13.5" customHeight="1" x14ac:dyDescent="0.3">
      <c r="A48" s="401"/>
      <c r="C48" s="409" t="s">
        <v>757</v>
      </c>
      <c r="F48" s="410"/>
      <c r="G48" s="404"/>
      <c r="H48" s="404"/>
      <c r="I48" s="404"/>
      <c r="J48" s="404"/>
      <c r="K48" s="404"/>
      <c r="N48" s="401"/>
      <c r="P48" s="616" t="s">
        <v>469</v>
      </c>
      <c r="Q48" s="616"/>
      <c r="R48" s="616"/>
      <c r="T48" s="401"/>
      <c r="U48" s="401"/>
      <c r="V48" s="401"/>
      <c r="W48" s="401"/>
      <c r="X48" s="401"/>
      <c r="Y48" s="401"/>
      <c r="Z48" s="401"/>
      <c r="AA48" s="401"/>
      <c r="AB48" s="401"/>
    </row>
    <row r="49" spans="1:28" s="402" customFormat="1" ht="27" customHeight="1" x14ac:dyDescent="0.25">
      <c r="A49" s="401"/>
      <c r="C49" s="411" t="s">
        <v>787</v>
      </c>
      <c r="D49" s="412"/>
      <c r="E49" s="412"/>
      <c r="F49" s="413"/>
      <c r="N49" s="401"/>
      <c r="P49" s="616"/>
      <c r="Q49" s="616"/>
      <c r="R49" s="616"/>
      <c r="T49" s="401"/>
      <c r="U49" s="401"/>
      <c r="V49" s="401"/>
      <c r="W49" s="401"/>
      <c r="X49" s="401"/>
      <c r="Y49" s="401"/>
      <c r="Z49" s="401"/>
      <c r="AA49" s="401"/>
      <c r="AB49" s="401"/>
    </row>
    <row r="50" spans="1:28" s="402" customFormat="1" x14ac:dyDescent="0.25">
      <c r="A50" s="401"/>
      <c r="C50" s="411" t="s">
        <v>861</v>
      </c>
      <c r="D50" s="407"/>
      <c r="N50" s="401"/>
      <c r="T50" s="401"/>
      <c r="U50" s="401"/>
      <c r="V50" s="401"/>
      <c r="W50" s="401"/>
      <c r="X50" s="401"/>
      <c r="Y50" s="401"/>
      <c r="Z50" s="401"/>
      <c r="AA50" s="401"/>
      <c r="AB50" s="401"/>
    </row>
    <row r="51" spans="1:28" s="402" customFormat="1" ht="13" x14ac:dyDescent="0.3">
      <c r="A51" s="401"/>
      <c r="C51" s="411" t="s">
        <v>1074</v>
      </c>
      <c r="D51" s="407"/>
      <c r="N51" s="401"/>
      <c r="P51" s="385">
        <v>3</v>
      </c>
      <c r="Q51" s="402" t="s">
        <v>470</v>
      </c>
      <c r="T51" s="401"/>
      <c r="U51" s="401"/>
      <c r="V51" s="401"/>
      <c r="W51" s="401"/>
      <c r="X51" s="401"/>
      <c r="Y51" s="401"/>
      <c r="Z51" s="401"/>
      <c r="AA51" s="401"/>
      <c r="AB51" s="401"/>
    </row>
    <row r="52" spans="1:28" s="402" customFormat="1" ht="26.25" customHeight="1" x14ac:dyDescent="0.25">
      <c r="A52" s="401"/>
      <c r="C52" s="560" t="s">
        <v>1070</v>
      </c>
      <c r="D52" s="561" t="s">
        <v>1073</v>
      </c>
      <c r="N52" s="401"/>
      <c r="T52" s="401"/>
      <c r="U52" s="401"/>
      <c r="V52" s="401"/>
      <c r="W52" s="401"/>
      <c r="X52" s="401"/>
      <c r="Y52" s="401"/>
      <c r="Z52" s="401"/>
      <c r="AA52" s="401"/>
      <c r="AB52" s="401"/>
    </row>
    <row r="53" spans="1:28" s="402" customFormat="1" x14ac:dyDescent="0.25">
      <c r="A53" s="401"/>
      <c r="D53" s="501"/>
      <c r="N53" s="401"/>
      <c r="O53" s="401"/>
      <c r="P53" s="401"/>
      <c r="Q53" s="401"/>
      <c r="R53" s="401"/>
      <c r="S53" s="401"/>
      <c r="T53" s="401"/>
      <c r="U53" s="401"/>
      <c r="V53" s="401"/>
      <c r="W53" s="401"/>
      <c r="X53" s="401"/>
      <c r="Y53" s="401"/>
      <c r="Z53" s="401"/>
      <c r="AA53" s="401"/>
      <c r="AB53" s="401"/>
    </row>
    <row r="54" spans="1:28" s="402" customFormat="1" ht="12.75" customHeight="1" x14ac:dyDescent="0.25">
      <c r="A54" s="401"/>
      <c r="D54" s="625" t="s">
        <v>1078</v>
      </c>
      <c r="E54" s="626"/>
      <c r="G54" s="489" t="s">
        <v>788</v>
      </c>
      <c r="H54" s="490"/>
      <c r="I54" s="488" t="s">
        <v>379</v>
      </c>
      <c r="J54" s="488" t="s">
        <v>602</v>
      </c>
      <c r="K54" s="487" t="s">
        <v>601</v>
      </c>
      <c r="L54" s="491" t="s">
        <v>90</v>
      </c>
      <c r="N54" s="401"/>
      <c r="O54" s="401"/>
      <c r="P54" s="401"/>
      <c r="Q54" s="401"/>
      <c r="R54" s="401"/>
      <c r="S54" s="401"/>
      <c r="T54" s="401"/>
      <c r="U54" s="401"/>
      <c r="V54" s="401"/>
      <c r="W54" s="401"/>
      <c r="X54" s="401"/>
      <c r="Y54" s="401"/>
      <c r="Z54" s="401"/>
      <c r="AA54" s="401"/>
      <c r="AB54" s="401"/>
    </row>
    <row r="55" spans="1:28" s="402" customFormat="1" ht="13" x14ac:dyDescent="0.3">
      <c r="A55" s="401"/>
      <c r="C55" s="418" t="str">
        <f>IF(D52='Drop-downs'!$AB$20,Inputs!$C$70,Inputs!$C$63)</f>
        <v>Natural gas</v>
      </c>
      <c r="D55" s="385">
        <v>150000</v>
      </c>
      <c r="E55" s="419" t="str">
        <f>INDEX($E$63:$E$84,MATCH(C55,$C$63:$C$84,0))</f>
        <v>GJ</v>
      </c>
      <c r="G55" s="570"/>
      <c r="H55" s="571"/>
      <c r="I55" s="421">
        <f>IF(D55=0,0,G55/D55)</f>
        <v>0</v>
      </c>
      <c r="J55" s="421">
        <f>INDEX($J$63:$J$84,MATCH($C55,$C$63:$C$84,0))</f>
        <v>8</v>
      </c>
      <c r="K55" s="464">
        <f t="shared" ref="K55" si="0">IF(IFERROR(AND(ISNUMBER(I55),I55&gt;0),FALSE),I55,J55)</f>
        <v>8</v>
      </c>
      <c r="L55" s="465" t="str">
        <f t="shared" ref="L55" si="1">"$ / "&amp;E55</f>
        <v>$ / GJ</v>
      </c>
      <c r="N55" s="401"/>
      <c r="O55" s="401"/>
      <c r="P55" s="401"/>
      <c r="Q55" s="401"/>
      <c r="R55" s="401"/>
      <c r="S55" s="401"/>
      <c r="T55" s="401"/>
      <c r="U55" s="401"/>
      <c r="V55" s="401"/>
      <c r="W55" s="401"/>
      <c r="X55" s="401"/>
      <c r="Y55" s="401"/>
      <c r="Z55" s="401"/>
      <c r="AA55" s="401"/>
      <c r="AB55" s="401"/>
    </row>
    <row r="56" spans="1:28" s="402" customFormat="1" ht="13" x14ac:dyDescent="0.3">
      <c r="A56" s="401"/>
      <c r="C56" s="418" t="str">
        <f>IF(D52='Drop-downs'!$AB$20,Inputs!$C$64,"Biogas")</f>
        <v>Biogas</v>
      </c>
      <c r="D56" s="385">
        <v>50000</v>
      </c>
      <c r="E56" s="419" t="str">
        <f>INDEX($E$63:$E$84,MATCH(IF(C56="Biogas",C75,C56),$C$63:$C$84,0))</f>
        <v>GJ</v>
      </c>
      <c r="G56" s="570"/>
      <c r="H56" s="571"/>
      <c r="I56" s="421">
        <f>IF(D56=0,0,G56/D56)</f>
        <v>0</v>
      </c>
      <c r="J56" s="421">
        <f>INDEX($J$63:$J$84,MATCH(IF(C56="Biogas",C75,C56),$C$63:$C$84,0))</f>
        <v>3</v>
      </c>
      <c r="K56" s="464">
        <f t="shared" ref="K56" si="2">IF(IFERROR(AND(ISNUMBER(I56),I56&gt;0),FALSE),I56,J56)</f>
        <v>3</v>
      </c>
      <c r="L56" s="465" t="str">
        <f t="shared" ref="L56" si="3">"$ / "&amp;E56</f>
        <v>$ / GJ</v>
      </c>
      <c r="N56" s="401"/>
      <c r="O56" s="401"/>
      <c r="P56" s="401"/>
      <c r="Q56" s="401"/>
      <c r="R56" s="401"/>
      <c r="S56" s="401"/>
      <c r="T56" s="401"/>
      <c r="U56" s="401"/>
      <c r="V56" s="401"/>
      <c r="W56" s="401"/>
      <c r="X56" s="401"/>
      <c r="Y56" s="401"/>
      <c r="Z56" s="401"/>
      <c r="AA56" s="401"/>
      <c r="AB56" s="401"/>
    </row>
    <row r="57" spans="1:28" s="402" customFormat="1" ht="13" x14ac:dyDescent="0.3">
      <c r="A57" s="401"/>
      <c r="C57" s="418" t="s">
        <v>877</v>
      </c>
      <c r="D57" s="385">
        <v>10000000</v>
      </c>
      <c r="E57" s="419" t="s">
        <v>74</v>
      </c>
      <c r="G57" s="415"/>
      <c r="H57" s="415"/>
      <c r="I57" s="415"/>
      <c r="J57" s="415"/>
      <c r="K57" s="415"/>
      <c r="L57" s="415"/>
      <c r="N57" s="401"/>
      <c r="O57" s="401"/>
      <c r="P57" s="401"/>
      <c r="Q57" s="401"/>
      <c r="R57" s="401"/>
      <c r="S57" s="401"/>
      <c r="T57" s="401"/>
      <c r="U57" s="401"/>
      <c r="V57" s="401"/>
      <c r="W57" s="401"/>
      <c r="X57" s="401"/>
      <c r="Y57" s="401"/>
      <c r="Z57" s="401"/>
      <c r="AA57" s="401"/>
      <c r="AB57" s="401"/>
    </row>
    <row r="58" spans="1:28" s="402" customFormat="1" x14ac:dyDescent="0.25">
      <c r="A58" s="401"/>
      <c r="E58" s="415"/>
      <c r="F58" s="415"/>
      <c r="G58" s="415"/>
      <c r="H58" s="415"/>
      <c r="I58" s="415"/>
      <c r="J58" s="415"/>
      <c r="K58" s="415"/>
      <c r="L58" s="415"/>
      <c r="N58" s="401"/>
      <c r="O58" s="401"/>
      <c r="P58" s="401"/>
      <c r="Q58" s="401"/>
      <c r="R58" s="401"/>
      <c r="S58" s="401"/>
      <c r="T58" s="401"/>
      <c r="U58" s="401"/>
      <c r="V58" s="401"/>
      <c r="W58" s="401"/>
      <c r="X58" s="401"/>
      <c r="Y58" s="401"/>
      <c r="Z58" s="401"/>
      <c r="AA58" s="401"/>
      <c r="AB58" s="401"/>
    </row>
    <row r="59" spans="1:28" s="402" customFormat="1" ht="4.5" customHeight="1" x14ac:dyDescent="0.25">
      <c r="A59" s="401"/>
      <c r="D59" s="500"/>
      <c r="E59" s="501"/>
      <c r="F59" s="414"/>
      <c r="G59" s="414"/>
      <c r="H59" s="414"/>
      <c r="I59" s="576" t="s">
        <v>768</v>
      </c>
      <c r="J59" s="598"/>
      <c r="K59" s="598"/>
      <c r="L59" s="577"/>
      <c r="N59" s="401"/>
      <c r="O59" s="431"/>
      <c r="P59" s="431"/>
      <c r="Q59" s="431"/>
      <c r="R59" s="431"/>
      <c r="S59" s="431"/>
      <c r="T59" s="431"/>
      <c r="U59" s="431"/>
      <c r="V59" s="431"/>
      <c r="W59" s="431"/>
      <c r="X59" s="401"/>
      <c r="Y59" s="401"/>
      <c r="Z59" s="401"/>
      <c r="AA59" s="401"/>
      <c r="AB59" s="401"/>
    </row>
    <row r="60" spans="1:28" s="402" customFormat="1" ht="18" customHeight="1" thickBot="1" x14ac:dyDescent="0.4">
      <c r="A60" s="401"/>
      <c r="D60" s="415"/>
      <c r="E60" s="415"/>
      <c r="F60" s="416"/>
      <c r="G60" s="416"/>
      <c r="H60" s="416"/>
      <c r="I60" s="578"/>
      <c r="J60" s="599"/>
      <c r="K60" s="599"/>
      <c r="L60" s="579"/>
      <c r="N60" s="401"/>
      <c r="O60" s="431"/>
      <c r="P60" s="432" t="s">
        <v>938</v>
      </c>
      <c r="Q60" s="432"/>
      <c r="R60" s="432"/>
      <c r="S60" s="432"/>
      <c r="T60" s="432"/>
      <c r="U60" s="432"/>
      <c r="V60" s="432"/>
      <c r="W60" s="431"/>
      <c r="X60" s="401"/>
      <c r="Y60" s="401"/>
      <c r="Z60" s="401"/>
      <c r="AA60" s="401"/>
      <c r="AB60" s="401"/>
    </row>
    <row r="61" spans="1:28" s="402" customFormat="1" ht="9.75" customHeight="1" thickTop="1" x14ac:dyDescent="0.25">
      <c r="A61" s="401"/>
      <c r="D61" s="639" t="s">
        <v>378</v>
      </c>
      <c r="E61" s="640"/>
      <c r="F61" s="417"/>
      <c r="G61" s="576" t="s">
        <v>788</v>
      </c>
      <c r="H61" s="577"/>
      <c r="I61" s="574" t="s">
        <v>379</v>
      </c>
      <c r="J61" s="574" t="s">
        <v>602</v>
      </c>
      <c r="K61" s="580" t="s">
        <v>601</v>
      </c>
      <c r="L61" s="600" t="s">
        <v>90</v>
      </c>
      <c r="N61" s="401"/>
      <c r="O61" s="431"/>
      <c r="P61" s="433"/>
      <c r="Q61" s="431"/>
      <c r="R61" s="431"/>
      <c r="S61" s="431"/>
      <c r="T61" s="431"/>
      <c r="U61" s="431"/>
      <c r="V61" s="431"/>
      <c r="W61" s="431"/>
      <c r="X61" s="401"/>
      <c r="Y61" s="401"/>
      <c r="Z61" s="401"/>
      <c r="AA61" s="401"/>
      <c r="AB61" s="401"/>
    </row>
    <row r="62" spans="1:28" s="402" customFormat="1" ht="24.75" customHeight="1" x14ac:dyDescent="0.25">
      <c r="A62" s="401"/>
      <c r="D62" s="641"/>
      <c r="E62" s="642"/>
      <c r="F62" s="417"/>
      <c r="G62" s="578"/>
      <c r="H62" s="579"/>
      <c r="I62" s="575"/>
      <c r="J62" s="575"/>
      <c r="K62" s="581"/>
      <c r="L62" s="601"/>
      <c r="N62" s="401"/>
      <c r="O62" s="431"/>
      <c r="P62" s="514"/>
      <c r="Q62" s="514"/>
      <c r="R62" s="515" t="s">
        <v>772</v>
      </c>
      <c r="S62" s="603" t="s">
        <v>770</v>
      </c>
      <c r="T62" s="604"/>
      <c r="U62" s="605"/>
      <c r="V62" s="516" t="s">
        <v>771</v>
      </c>
      <c r="W62" s="431"/>
      <c r="X62" s="401"/>
      <c r="Y62" s="401"/>
      <c r="Z62" s="401"/>
      <c r="AA62" s="401"/>
      <c r="AB62" s="401"/>
    </row>
    <row r="63" spans="1:28" s="402" customFormat="1" ht="15.75" customHeight="1" x14ac:dyDescent="0.3">
      <c r="A63" s="401"/>
      <c r="C63" s="418" t="s">
        <v>991</v>
      </c>
      <c r="D63" s="385">
        <v>31000</v>
      </c>
      <c r="E63" s="419" t="s">
        <v>75</v>
      </c>
      <c r="F63" s="420"/>
      <c r="G63" s="570"/>
      <c r="H63" s="571"/>
      <c r="I63" s="421">
        <f t="shared" ref="I63:I84" si="4">IF(D63=0,0,G63/D63)</f>
        <v>0</v>
      </c>
      <c r="J63" s="421">
        <v>8</v>
      </c>
      <c r="K63" s="464">
        <f t="shared" ref="K63:K80" si="5">IF(IFERROR(AND(ISNUMBER(I63),I63&gt;0),FALSE),I63,J63)</f>
        <v>8</v>
      </c>
      <c r="L63" s="465" t="str">
        <f t="shared" ref="L63:L81" si="6">"$ / "&amp;E63</f>
        <v>$ / GJ</v>
      </c>
      <c r="N63" s="401"/>
      <c r="O63" s="431"/>
      <c r="P63" s="603" t="s">
        <v>84</v>
      </c>
      <c r="Q63" s="605"/>
      <c r="R63" s="517">
        <f>Calculations!$G$205</f>
        <v>4875</v>
      </c>
      <c r="S63" s="619">
        <f>Calculations!$J$64</f>
        <v>1.2717948717948717</v>
      </c>
      <c r="T63" s="620"/>
      <c r="U63" s="621"/>
      <c r="V63" s="520">
        <f>S63*R63/1000</f>
        <v>6.2</v>
      </c>
      <c r="W63" s="431"/>
      <c r="X63" s="401"/>
      <c r="Y63" s="401"/>
      <c r="Z63" s="401"/>
      <c r="AA63" s="401"/>
      <c r="AB63" s="401"/>
    </row>
    <row r="64" spans="1:28" s="402" customFormat="1" ht="15.75" customHeight="1" x14ac:dyDescent="0.3">
      <c r="A64" s="401"/>
      <c r="C64" s="418" t="s">
        <v>93</v>
      </c>
      <c r="D64" s="385"/>
      <c r="E64" s="419" t="s">
        <v>94</v>
      </c>
      <c r="F64" s="420"/>
      <c r="G64" s="570"/>
      <c r="H64" s="571"/>
      <c r="I64" s="421">
        <f t="shared" si="4"/>
        <v>0</v>
      </c>
      <c r="J64" s="421">
        <v>120</v>
      </c>
      <c r="K64" s="464">
        <f t="shared" si="5"/>
        <v>120</v>
      </c>
      <c r="L64" s="465" t="str">
        <f t="shared" si="6"/>
        <v>$ / tonnes</v>
      </c>
      <c r="N64" s="401"/>
      <c r="O64" s="431"/>
      <c r="P64" s="603" t="s">
        <v>72</v>
      </c>
      <c r="Q64" s="605"/>
      <c r="R64" s="518">
        <f>Calculations!$G$208</f>
        <v>350</v>
      </c>
      <c r="S64" s="622">
        <f>Calculations!$J$65</f>
        <v>0.15357142857142858</v>
      </c>
      <c r="T64" s="623"/>
      <c r="U64" s="624"/>
      <c r="V64" s="520">
        <f>S64*R64</f>
        <v>53.75</v>
      </c>
      <c r="W64" s="431"/>
      <c r="X64" s="401"/>
      <c r="Y64" s="401"/>
      <c r="Z64" s="401"/>
      <c r="AA64" s="401"/>
      <c r="AB64" s="401"/>
    </row>
    <row r="65" spans="1:28" s="402" customFormat="1" ht="15.75" customHeight="1" x14ac:dyDescent="0.3">
      <c r="A65" s="401"/>
      <c r="C65" s="418" t="s">
        <v>95</v>
      </c>
      <c r="D65" s="385"/>
      <c r="E65" s="419" t="s">
        <v>96</v>
      </c>
      <c r="F65" s="420"/>
      <c r="G65" s="570"/>
      <c r="H65" s="571"/>
      <c r="I65" s="421">
        <f t="shared" si="4"/>
        <v>0</v>
      </c>
      <c r="J65" s="422">
        <v>0.7</v>
      </c>
      <c r="K65" s="464">
        <f t="shared" si="5"/>
        <v>0.7</v>
      </c>
      <c r="L65" s="465" t="str">
        <f t="shared" si="6"/>
        <v>$ / litres</v>
      </c>
      <c r="N65" s="401"/>
      <c r="O65" s="431"/>
      <c r="P65" s="617" t="s">
        <v>713</v>
      </c>
      <c r="Q65" s="618"/>
      <c r="R65" s="517">
        <f>Calculations!$F$66</f>
        <v>6135</v>
      </c>
      <c r="S65" s="619">
        <f>Calculations!$J$66</f>
        <v>9.7718011409942953</v>
      </c>
      <c r="T65" s="620"/>
      <c r="U65" s="621"/>
      <c r="V65" s="520">
        <f>S65*R65/1000</f>
        <v>59.95</v>
      </c>
      <c r="W65" s="431"/>
      <c r="X65" s="401"/>
      <c r="Y65" s="401"/>
      <c r="Z65" s="401"/>
      <c r="AA65" s="401"/>
      <c r="AB65" s="401"/>
    </row>
    <row r="66" spans="1:28" s="402" customFormat="1" ht="15.75" customHeight="1" x14ac:dyDescent="0.3">
      <c r="A66" s="401"/>
      <c r="C66" s="418" t="s">
        <v>0</v>
      </c>
      <c r="D66" s="385"/>
      <c r="E66" s="419" t="s">
        <v>94</v>
      </c>
      <c r="F66" s="420"/>
      <c r="G66" s="570"/>
      <c r="H66" s="571"/>
      <c r="I66" s="421">
        <f t="shared" si="4"/>
        <v>0</v>
      </c>
      <c r="J66" s="423">
        <v>800</v>
      </c>
      <c r="K66" s="466">
        <f t="shared" si="5"/>
        <v>800</v>
      </c>
      <c r="L66" s="465" t="str">
        <f t="shared" si="6"/>
        <v>$ / tonnes</v>
      </c>
      <c r="N66" s="401"/>
      <c r="O66" s="431"/>
      <c r="P66" s="603" t="s">
        <v>67</v>
      </c>
      <c r="Q66" s="605"/>
      <c r="R66" s="519">
        <f>Calculations!$G$211</f>
        <v>15</v>
      </c>
      <c r="S66" s="606">
        <f>Calculations!$J$67</f>
        <v>3.875</v>
      </c>
      <c r="T66" s="607"/>
      <c r="U66" s="608"/>
      <c r="V66" s="520">
        <f>S66*R66</f>
        <v>58.125</v>
      </c>
      <c r="W66" s="431"/>
      <c r="X66" s="401"/>
      <c r="Y66" s="401"/>
      <c r="Z66" s="401"/>
      <c r="AA66" s="401"/>
      <c r="AB66" s="401"/>
    </row>
    <row r="67" spans="1:28" s="402" customFormat="1" ht="15.75" customHeight="1" x14ac:dyDescent="0.3">
      <c r="A67" s="401"/>
      <c r="C67" s="418" t="s">
        <v>521</v>
      </c>
      <c r="D67" s="385"/>
      <c r="E67" s="419" t="s">
        <v>96</v>
      </c>
      <c r="F67" s="420"/>
      <c r="G67" s="570"/>
      <c r="H67" s="571"/>
      <c r="I67" s="421">
        <f t="shared" si="4"/>
        <v>0</v>
      </c>
      <c r="J67" s="422">
        <v>1.5</v>
      </c>
      <c r="K67" s="464">
        <f t="shared" si="5"/>
        <v>1.5</v>
      </c>
      <c r="L67" s="465" t="str">
        <f t="shared" si="6"/>
        <v>$ / litres</v>
      </c>
      <c r="N67" s="401"/>
      <c r="O67" s="431"/>
      <c r="P67" s="431"/>
      <c r="Q67" s="431"/>
      <c r="R67" s="431"/>
      <c r="S67" s="431"/>
      <c r="T67" s="431"/>
      <c r="U67" s="431"/>
      <c r="V67" s="431"/>
      <c r="W67" s="431"/>
      <c r="X67" s="401"/>
      <c r="Y67" s="401"/>
      <c r="Z67" s="401"/>
      <c r="AA67" s="401"/>
      <c r="AB67" s="401"/>
    </row>
    <row r="68" spans="1:28" s="402" customFormat="1" ht="15.75" customHeight="1" x14ac:dyDescent="0.3">
      <c r="A68" s="401"/>
      <c r="C68" s="418" t="s">
        <v>981</v>
      </c>
      <c r="D68" s="385"/>
      <c r="E68" s="419" t="s">
        <v>96</v>
      </c>
      <c r="F68" s="420"/>
      <c r="G68" s="570"/>
      <c r="H68" s="571"/>
      <c r="I68" s="421">
        <f>IF(D68=0,0,G68/D68)</f>
        <v>0</v>
      </c>
      <c r="J68" s="422">
        <v>1.2</v>
      </c>
      <c r="K68" s="464">
        <f t="shared" ref="K68:K69" si="7">IF(IFERROR(AND(ISNUMBER(I68),I68&gt;0),FALSE),I68,J68)</f>
        <v>1.2</v>
      </c>
      <c r="L68" s="465" t="str">
        <f t="shared" ref="L68:L69" si="8">"$ / "&amp;E68</f>
        <v>$ / litres</v>
      </c>
      <c r="N68" s="401"/>
      <c r="O68" s="431"/>
      <c r="P68" s="431"/>
      <c r="Q68" s="431"/>
      <c r="R68" s="431"/>
      <c r="S68" s="431"/>
      <c r="T68" s="431"/>
      <c r="U68" s="431"/>
      <c r="V68" s="431"/>
      <c r="W68" s="431"/>
      <c r="X68" s="401"/>
      <c r="Y68" s="401"/>
      <c r="Z68" s="401"/>
      <c r="AA68" s="401"/>
      <c r="AB68" s="401"/>
    </row>
    <row r="69" spans="1:28" s="402" customFormat="1" ht="15.75" customHeight="1" x14ac:dyDescent="0.3">
      <c r="A69" s="401"/>
      <c r="C69" s="418" t="s">
        <v>982</v>
      </c>
      <c r="D69" s="385"/>
      <c r="E69" s="419" t="s">
        <v>96</v>
      </c>
      <c r="F69" s="420"/>
      <c r="G69" s="570"/>
      <c r="H69" s="571"/>
      <c r="I69" s="421">
        <f t="shared" si="4"/>
        <v>0</v>
      </c>
      <c r="J69" s="422">
        <v>1.5</v>
      </c>
      <c r="K69" s="464">
        <f t="shared" si="7"/>
        <v>1.5</v>
      </c>
      <c r="L69" s="465" t="str">
        <f t="shared" si="8"/>
        <v>$ / litres</v>
      </c>
      <c r="N69" s="401"/>
      <c r="O69" s="431"/>
      <c r="P69" s="431"/>
      <c r="Q69" s="431"/>
      <c r="R69" s="431"/>
      <c r="S69" s="431"/>
      <c r="T69" s="431"/>
      <c r="U69" s="431"/>
      <c r="V69" s="431"/>
      <c r="W69" s="431"/>
      <c r="X69" s="401"/>
      <c r="Y69" s="401"/>
      <c r="Z69" s="401"/>
      <c r="AA69" s="401"/>
      <c r="AB69" s="401"/>
    </row>
    <row r="70" spans="1:28" s="402" customFormat="1" ht="39.75" customHeight="1" x14ac:dyDescent="0.3">
      <c r="A70" s="401"/>
      <c r="C70" s="504" t="s">
        <v>856</v>
      </c>
      <c r="D70" s="385">
        <v>0</v>
      </c>
      <c r="E70" s="472" t="s">
        <v>94</v>
      </c>
      <c r="F70" s="473"/>
      <c r="G70" s="582"/>
      <c r="H70" s="583"/>
      <c r="I70" s="588">
        <f t="shared" si="4"/>
        <v>0</v>
      </c>
      <c r="J70" s="588">
        <v>50</v>
      </c>
      <c r="K70" s="591">
        <f t="shared" si="5"/>
        <v>50</v>
      </c>
      <c r="L70" s="595" t="str">
        <f t="shared" si="6"/>
        <v>$ / tonnes</v>
      </c>
      <c r="N70" s="401"/>
      <c r="O70" s="431"/>
      <c r="P70" s="609" t="s">
        <v>927</v>
      </c>
      <c r="Q70" s="610"/>
      <c r="R70" s="610"/>
      <c r="S70" s="610"/>
      <c r="T70" s="610"/>
      <c r="U70" s="610"/>
      <c r="V70" s="610"/>
      <c r="W70" s="431"/>
      <c r="X70" s="401"/>
      <c r="Y70" s="401"/>
      <c r="Z70" s="401"/>
      <c r="AA70" s="401"/>
      <c r="AB70" s="401"/>
    </row>
    <row r="71" spans="1:28" s="402" customFormat="1" x14ac:dyDescent="0.25">
      <c r="A71" s="401"/>
      <c r="C71" s="475" t="s">
        <v>883</v>
      </c>
      <c r="D71" s="503">
        <v>12</v>
      </c>
      <c r="E71" s="474" t="s">
        <v>347</v>
      </c>
      <c r="F71" s="473"/>
      <c r="G71" s="584"/>
      <c r="H71" s="585"/>
      <c r="I71" s="589"/>
      <c r="J71" s="589"/>
      <c r="K71" s="592"/>
      <c r="L71" s="596"/>
      <c r="N71" s="401"/>
      <c r="O71" s="431"/>
      <c r="P71" s="434" t="s">
        <v>712</v>
      </c>
      <c r="Q71" s="431"/>
      <c r="R71" s="431"/>
      <c r="S71" s="431"/>
      <c r="T71" s="431"/>
      <c r="U71" s="431"/>
      <c r="V71" s="431"/>
      <c r="W71" s="431"/>
      <c r="X71" s="401"/>
      <c r="Y71" s="401"/>
      <c r="Z71" s="401"/>
      <c r="AA71" s="401"/>
      <c r="AB71" s="401"/>
    </row>
    <row r="72" spans="1:28" s="402" customFormat="1" x14ac:dyDescent="0.25">
      <c r="A72" s="401"/>
      <c r="C72" s="475" t="s">
        <v>881</v>
      </c>
      <c r="D72" s="476">
        <f>IFERROR(INDEX('Drop-downs'!$O$18:$O$28,MATCH(Inputs!$C$70,Biomass_Options,0)),"select from drop-down")</f>
        <v>8</v>
      </c>
      <c r="E72" s="474" t="s">
        <v>347</v>
      </c>
      <c r="F72" s="473"/>
      <c r="G72" s="584"/>
      <c r="H72" s="585"/>
      <c r="I72" s="589"/>
      <c r="J72" s="589"/>
      <c r="K72" s="592"/>
      <c r="L72" s="596"/>
      <c r="N72" s="401"/>
      <c r="O72" s="431"/>
      <c r="P72" s="431"/>
      <c r="Q72" s="431"/>
      <c r="R72" s="431"/>
      <c r="S72" s="431"/>
      <c r="T72" s="431"/>
      <c r="U72" s="431"/>
      <c r="V72" s="431"/>
      <c r="W72" s="431"/>
      <c r="X72" s="401"/>
      <c r="Y72" s="401"/>
      <c r="Z72" s="401"/>
      <c r="AA72" s="401"/>
      <c r="AB72" s="401"/>
    </row>
    <row r="73" spans="1:28" s="402" customFormat="1" ht="15.75" customHeight="1" x14ac:dyDescent="0.25">
      <c r="A73" s="401"/>
      <c r="C73" s="475" t="s">
        <v>884</v>
      </c>
      <c r="D73" s="476">
        <f>IF(C70&lt;&gt;'Drop-downs'!$M$28,D72,IFERROR(IF(D71="",INDEX('Drop-downs'!$O$18:$O$28,MATCH(Inputs!$C$70,Biomass_Options,0)),D71),0))</f>
        <v>8</v>
      </c>
      <c r="E73" s="474" t="s">
        <v>347</v>
      </c>
      <c r="F73" s="473"/>
      <c r="G73" s="586"/>
      <c r="H73" s="587"/>
      <c r="I73" s="590"/>
      <c r="J73" s="590"/>
      <c r="K73" s="593"/>
      <c r="L73" s="597"/>
      <c r="N73" s="401"/>
      <c r="O73" s="431"/>
      <c r="P73" s="431"/>
      <c r="Q73" s="431"/>
      <c r="R73" s="431"/>
      <c r="S73" s="431"/>
      <c r="T73" s="431"/>
      <c r="U73" s="431"/>
      <c r="V73" s="431"/>
      <c r="W73" s="431"/>
      <c r="X73" s="401"/>
      <c r="Y73" s="401"/>
      <c r="Z73" s="401"/>
      <c r="AA73" s="401"/>
      <c r="AB73" s="401"/>
    </row>
    <row r="74" spans="1:28" s="402" customFormat="1" ht="15.75" customHeight="1" x14ac:dyDescent="0.3">
      <c r="A74" s="401"/>
      <c r="C74" s="418" t="s">
        <v>707</v>
      </c>
      <c r="D74" s="385"/>
      <c r="E74" s="419" t="s">
        <v>75</v>
      </c>
      <c r="F74" s="420"/>
      <c r="G74" s="570"/>
      <c r="H74" s="571"/>
      <c r="I74" s="421">
        <f t="shared" si="4"/>
        <v>0</v>
      </c>
      <c r="J74" s="424">
        <v>2</v>
      </c>
      <c r="K74" s="464">
        <f t="shared" si="5"/>
        <v>2</v>
      </c>
      <c r="L74" s="465" t="str">
        <f t="shared" si="6"/>
        <v>$ / GJ</v>
      </c>
      <c r="N74" s="401"/>
      <c r="O74" s="431"/>
      <c r="P74" s="602" t="str">
        <f>HYPERLINK("#'Output'!$A$1","LINK: Progress to Output Report")</f>
        <v>LINK: Progress to Output Report</v>
      </c>
      <c r="Q74" s="602"/>
      <c r="R74" s="602"/>
      <c r="S74" s="602"/>
      <c r="T74" s="602"/>
      <c r="U74" s="602"/>
      <c r="V74" s="602"/>
      <c r="W74" s="431"/>
      <c r="X74" s="401"/>
      <c r="Y74" s="401"/>
      <c r="Z74" s="401"/>
      <c r="AA74" s="401"/>
      <c r="AB74" s="401"/>
    </row>
    <row r="75" spans="1:28" s="402" customFormat="1" ht="15.75" customHeight="1" x14ac:dyDescent="0.3">
      <c r="A75" s="401"/>
      <c r="C75" s="425" t="s">
        <v>708</v>
      </c>
      <c r="D75" s="385"/>
      <c r="E75" s="419" t="s">
        <v>75</v>
      </c>
      <c r="F75" s="420"/>
      <c r="G75" s="570"/>
      <c r="H75" s="571"/>
      <c r="I75" s="421">
        <f t="shared" si="4"/>
        <v>0</v>
      </c>
      <c r="J75" s="424">
        <v>3</v>
      </c>
      <c r="K75" s="464">
        <f t="shared" si="5"/>
        <v>3</v>
      </c>
      <c r="L75" s="465" t="str">
        <f t="shared" si="6"/>
        <v>$ / GJ</v>
      </c>
      <c r="N75" s="401"/>
      <c r="O75" s="431"/>
      <c r="P75" s="431"/>
      <c r="Q75" s="431"/>
      <c r="R75" s="431"/>
      <c r="S75" s="431"/>
      <c r="T75" s="431"/>
      <c r="U75" s="431"/>
      <c r="V75" s="431"/>
      <c r="W75" s="431"/>
      <c r="X75" s="401"/>
      <c r="Y75" s="401"/>
      <c r="Z75" s="401"/>
      <c r="AA75" s="401"/>
      <c r="AB75" s="401"/>
    </row>
    <row r="76" spans="1:28" s="402" customFormat="1" ht="15.75" customHeight="1" x14ac:dyDescent="0.3">
      <c r="A76" s="401"/>
      <c r="C76" s="418" t="s">
        <v>709</v>
      </c>
      <c r="D76" s="385">
        <v>4000000</v>
      </c>
      <c r="E76" s="419" t="s">
        <v>74</v>
      </c>
      <c r="F76" s="420"/>
      <c r="G76" s="570"/>
      <c r="H76" s="571"/>
      <c r="I76" s="421">
        <f t="shared" si="4"/>
        <v>0</v>
      </c>
      <c r="J76" s="422">
        <v>0.2</v>
      </c>
      <c r="K76" s="464">
        <f t="shared" si="5"/>
        <v>0.2</v>
      </c>
      <c r="L76" s="465" t="str">
        <f t="shared" si="6"/>
        <v>$ / kWh</v>
      </c>
      <c r="N76" s="401"/>
      <c r="O76" s="401"/>
      <c r="P76" s="401"/>
      <c r="Q76" s="401"/>
      <c r="R76" s="401"/>
      <c r="S76" s="401"/>
      <c r="T76" s="401"/>
      <c r="U76" s="401"/>
      <c r="V76" s="401"/>
      <c r="W76" s="401"/>
      <c r="X76" s="401"/>
      <c r="Y76" s="401"/>
      <c r="Z76" s="401"/>
      <c r="AA76" s="401"/>
      <c r="AB76" s="401"/>
    </row>
    <row r="77" spans="1:28" s="402" customFormat="1" x14ac:dyDescent="0.25">
      <c r="A77" s="401"/>
      <c r="C77" s="630" t="s">
        <v>983</v>
      </c>
      <c r="D77" s="633"/>
      <c r="E77" s="636" t="s">
        <v>74</v>
      </c>
      <c r="G77" s="611" t="str">
        <f>IF(D77&gt;D76, "Warning: Renewable Energy should be less than or equal to Grid Electricity.","")</f>
        <v/>
      </c>
      <c r="H77" s="611"/>
      <c r="I77" s="611"/>
      <c r="J77" s="611"/>
      <c r="K77" s="611"/>
      <c r="L77" s="611"/>
      <c r="N77" s="401"/>
      <c r="O77" s="431"/>
      <c r="P77" s="431"/>
      <c r="Q77" s="431"/>
      <c r="R77" s="431"/>
      <c r="S77" s="431"/>
      <c r="T77" s="431"/>
      <c r="U77" s="431"/>
      <c r="V77" s="431"/>
      <c r="W77" s="431"/>
      <c r="X77" s="401"/>
      <c r="Y77" s="401"/>
      <c r="Z77" s="401"/>
      <c r="AA77" s="401"/>
      <c r="AB77" s="401"/>
    </row>
    <row r="78" spans="1:28" s="402" customFormat="1" ht="17" thickBot="1" x14ac:dyDescent="0.4">
      <c r="A78" s="401"/>
      <c r="C78" s="631"/>
      <c r="D78" s="634"/>
      <c r="E78" s="637"/>
      <c r="G78" s="612"/>
      <c r="H78" s="612"/>
      <c r="I78" s="612"/>
      <c r="J78" s="612"/>
      <c r="K78" s="612"/>
      <c r="L78" s="612"/>
      <c r="N78" s="401"/>
      <c r="O78" s="431"/>
      <c r="P78" s="432" t="s">
        <v>1067</v>
      </c>
      <c r="Q78" s="432"/>
      <c r="R78" s="432"/>
      <c r="S78" s="432"/>
      <c r="T78" s="432"/>
      <c r="U78" s="432"/>
      <c r="V78" s="432"/>
      <c r="W78" s="431"/>
      <c r="X78" s="401"/>
      <c r="Y78" s="401"/>
      <c r="Z78" s="401"/>
      <c r="AA78" s="401"/>
      <c r="AB78" s="401"/>
    </row>
    <row r="79" spans="1:28" s="402" customFormat="1" ht="13" thickTop="1" x14ac:dyDescent="0.25">
      <c r="A79" s="401"/>
      <c r="C79" s="632"/>
      <c r="D79" s="635"/>
      <c r="E79" s="638"/>
      <c r="G79" s="613"/>
      <c r="H79" s="613"/>
      <c r="I79" s="613"/>
      <c r="J79" s="613"/>
      <c r="K79" s="613"/>
      <c r="L79" s="613"/>
      <c r="N79" s="401"/>
      <c r="O79" s="431"/>
      <c r="P79" s="431"/>
      <c r="Q79" s="431"/>
      <c r="R79" s="431"/>
      <c r="S79" s="431"/>
      <c r="T79" s="431"/>
      <c r="U79" s="431"/>
      <c r="V79" s="431"/>
      <c r="W79" s="431"/>
      <c r="X79" s="401"/>
      <c r="Y79" s="401"/>
      <c r="Z79" s="401"/>
      <c r="AA79" s="401"/>
      <c r="AB79" s="401"/>
    </row>
    <row r="80" spans="1:28" s="402" customFormat="1" ht="15.75" customHeight="1" x14ac:dyDescent="0.3">
      <c r="A80" s="401"/>
      <c r="C80" s="418" t="s">
        <v>710</v>
      </c>
      <c r="D80" s="385"/>
      <c r="E80" s="419" t="s">
        <v>74</v>
      </c>
      <c r="F80" s="420"/>
      <c r="G80" s="570"/>
      <c r="H80" s="571"/>
      <c r="I80" s="421">
        <f t="shared" si="4"/>
        <v>0</v>
      </c>
      <c r="J80" s="424">
        <v>0.1</v>
      </c>
      <c r="K80" s="464">
        <f t="shared" si="5"/>
        <v>0.1</v>
      </c>
      <c r="L80" s="465" t="str">
        <f t="shared" si="6"/>
        <v>$ / kWh</v>
      </c>
      <c r="N80" s="401"/>
      <c r="O80" s="431"/>
      <c r="P80" s="568"/>
      <c r="Q80" s="568"/>
      <c r="R80" s="569" t="s">
        <v>1075</v>
      </c>
      <c r="S80" s="569"/>
      <c r="T80" s="569"/>
      <c r="U80" s="569"/>
      <c r="V80" s="559" t="s">
        <v>985</v>
      </c>
      <c r="W80" s="431"/>
      <c r="X80" s="401"/>
      <c r="Y80" s="401"/>
      <c r="Z80" s="401"/>
      <c r="AA80" s="401"/>
      <c r="AB80" s="401"/>
    </row>
    <row r="81" spans="1:28" s="402" customFormat="1" ht="15.75" customHeight="1" x14ac:dyDescent="0.3">
      <c r="A81" s="401"/>
      <c r="C81" s="418" t="s">
        <v>715</v>
      </c>
      <c r="D81" s="385">
        <v>600000</v>
      </c>
      <c r="E81" s="419" t="s">
        <v>76</v>
      </c>
      <c r="F81" s="420"/>
      <c r="G81" s="570"/>
      <c r="H81" s="571"/>
      <c r="I81" s="421">
        <f t="shared" si="4"/>
        <v>0</v>
      </c>
      <c r="J81" s="421">
        <v>2</v>
      </c>
      <c r="K81" s="464">
        <f>IF(IFERROR(AND(ISNUMBER(I81),I81&gt;0),FALSE),I81,J81)</f>
        <v>2</v>
      </c>
      <c r="L81" s="465" t="str">
        <f t="shared" si="6"/>
        <v>$ / kL</v>
      </c>
      <c r="N81" s="401"/>
      <c r="O81" s="431"/>
      <c r="P81" s="569" t="s">
        <v>984</v>
      </c>
      <c r="Q81" s="569"/>
      <c r="R81" s="644">
        <f>Calculations!H228</f>
        <v>233.17325</v>
      </c>
      <c r="S81" s="644"/>
      <c r="T81" s="644"/>
      <c r="U81" s="644"/>
      <c r="V81" s="563">
        <f>Calculations!G228</f>
        <v>9326.93</v>
      </c>
      <c r="W81" s="431"/>
      <c r="X81" s="401"/>
      <c r="Y81" s="401"/>
      <c r="Z81" s="401"/>
      <c r="AA81" s="401"/>
      <c r="AB81" s="401"/>
    </row>
    <row r="82" spans="1:28" s="402" customFormat="1" ht="15.75" customHeight="1" x14ac:dyDescent="0.3">
      <c r="A82" s="401"/>
      <c r="C82" s="418" t="s">
        <v>716</v>
      </c>
      <c r="D82" s="385"/>
      <c r="E82" s="419" t="s">
        <v>76</v>
      </c>
      <c r="F82" s="420"/>
      <c r="G82" s="570"/>
      <c r="H82" s="571"/>
      <c r="I82" s="421">
        <f t="shared" si="4"/>
        <v>0</v>
      </c>
      <c r="J82" s="426">
        <v>0.2</v>
      </c>
      <c r="K82" s="464">
        <f t="shared" ref="K82:K84" si="9">IF(IFERROR(AND(ISNUMBER(I82),I82&gt;0),FALSE),I82,J82)</f>
        <v>0.2</v>
      </c>
      <c r="L82" s="465" t="str">
        <f t="shared" ref="L82:L84" si="10">"$ / "&amp;E82</f>
        <v>$ / kL</v>
      </c>
      <c r="N82" s="401"/>
      <c r="O82" s="431"/>
      <c r="P82" s="569" t="s">
        <v>212</v>
      </c>
      <c r="Q82" s="569"/>
      <c r="R82" s="644">
        <f>Calculations!H232</f>
        <v>98</v>
      </c>
      <c r="S82" s="644"/>
      <c r="T82" s="644"/>
      <c r="U82" s="644"/>
      <c r="V82" s="563">
        <f>Calculations!G232</f>
        <v>3920</v>
      </c>
      <c r="W82" s="431"/>
      <c r="X82" s="401"/>
      <c r="Y82" s="401"/>
      <c r="Z82" s="401"/>
      <c r="AA82" s="401"/>
      <c r="AB82" s="401"/>
    </row>
    <row r="83" spans="1:28" s="402" customFormat="1" ht="15.75" customHeight="1" x14ac:dyDescent="0.3">
      <c r="A83" s="401"/>
      <c r="C83" s="418" t="s">
        <v>711</v>
      </c>
      <c r="D83" s="385"/>
      <c r="E83" s="419" t="s">
        <v>76</v>
      </c>
      <c r="F83" s="420"/>
      <c r="G83" s="570"/>
      <c r="H83" s="571"/>
      <c r="I83" s="421">
        <f t="shared" si="4"/>
        <v>0</v>
      </c>
      <c r="J83" s="424">
        <v>0</v>
      </c>
      <c r="K83" s="464">
        <f t="shared" si="9"/>
        <v>0</v>
      </c>
      <c r="L83" s="465" t="str">
        <f t="shared" si="10"/>
        <v>$ / kL</v>
      </c>
      <c r="N83" s="401"/>
      <c r="O83" s="431"/>
      <c r="P83" s="569" t="s">
        <v>1010</v>
      </c>
      <c r="Q83" s="569"/>
      <c r="R83" s="644">
        <f>(Calculations!G228+Calculations!G232)/Calculations!$H$59*1000</f>
        <v>331.17325000000005</v>
      </c>
      <c r="S83" s="644"/>
      <c r="T83" s="644"/>
      <c r="U83" s="644"/>
      <c r="V83" s="563">
        <f>SUM(V81:V82)</f>
        <v>13246.93</v>
      </c>
      <c r="W83" s="431"/>
      <c r="X83" s="401"/>
      <c r="Y83" s="401"/>
      <c r="Z83" s="401"/>
      <c r="AA83" s="401"/>
      <c r="AB83" s="401"/>
    </row>
    <row r="84" spans="1:28" s="402" customFormat="1" ht="15.75" customHeight="1" x14ac:dyDescent="0.3">
      <c r="A84" s="401"/>
      <c r="C84" s="418" t="s">
        <v>73</v>
      </c>
      <c r="D84" s="385">
        <v>450000</v>
      </c>
      <c r="E84" s="419" t="s">
        <v>76</v>
      </c>
      <c r="F84" s="420"/>
      <c r="G84" s="570"/>
      <c r="H84" s="571"/>
      <c r="I84" s="421">
        <f t="shared" si="4"/>
        <v>0</v>
      </c>
      <c r="J84" s="426">
        <v>2.5</v>
      </c>
      <c r="K84" s="464">
        <f t="shared" si="9"/>
        <v>2.5</v>
      </c>
      <c r="L84" s="465" t="str">
        <f t="shared" si="10"/>
        <v>$ / kL</v>
      </c>
      <c r="N84" s="401"/>
      <c r="O84" s="431"/>
      <c r="P84" s="431"/>
      <c r="Q84" s="431"/>
      <c r="R84" s="431"/>
      <c r="S84" s="431"/>
      <c r="T84" s="431"/>
      <c r="U84" s="431"/>
      <c r="V84" s="643"/>
      <c r="W84" s="643"/>
      <c r="X84" s="401"/>
      <c r="Y84" s="401"/>
      <c r="Z84" s="401"/>
      <c r="AA84" s="401"/>
      <c r="AB84" s="401"/>
    </row>
    <row r="85" spans="1:28" s="402" customFormat="1" ht="8.25" customHeight="1" x14ac:dyDescent="0.25">
      <c r="A85" s="401"/>
      <c r="N85" s="401"/>
      <c r="O85" s="431"/>
      <c r="P85" s="431"/>
      <c r="Q85" s="431"/>
      <c r="R85" s="431"/>
      <c r="S85" s="431"/>
      <c r="T85" s="431"/>
      <c r="U85" s="431"/>
      <c r="V85" s="431"/>
      <c r="W85" s="431"/>
      <c r="X85" s="401"/>
      <c r="Y85" s="401"/>
      <c r="Z85" s="401"/>
      <c r="AA85" s="401"/>
      <c r="AB85" s="401"/>
    </row>
    <row r="86" spans="1:28" x14ac:dyDescent="0.25"/>
    <row r="87" spans="1:28" x14ac:dyDescent="0.25"/>
  </sheetData>
  <sheetProtection algorithmName="SHA-512" hashValue="DlT7G8DFU3oFLe5BGRpF0K0SfCew5Fje1HozJQKDrzeSVJsl2do1N47uG3C0dIj1dDHul3pjK07vikHhbTRyPA==" saltValue="BbM/CGX2LjEGzAzBrkn6Xg==" spinCount="100000" sheet="1" selectLockedCells="1"/>
  <mergeCells count="75">
    <mergeCell ref="V84:W84"/>
    <mergeCell ref="R80:U80"/>
    <mergeCell ref="R81:U81"/>
    <mergeCell ref="R82:U82"/>
    <mergeCell ref="R83:U83"/>
    <mergeCell ref="D13:E14"/>
    <mergeCell ref="D12:E12"/>
    <mergeCell ref="C13:C14"/>
    <mergeCell ref="C77:C79"/>
    <mergeCell ref="D77:D79"/>
    <mergeCell ref="E77:E79"/>
    <mergeCell ref="D61:E62"/>
    <mergeCell ref="N12:O12"/>
    <mergeCell ref="N13:O13"/>
    <mergeCell ref="N15:O15"/>
    <mergeCell ref="G77:L79"/>
    <mergeCell ref="C3:S3"/>
    <mergeCell ref="L19:M19"/>
    <mergeCell ref="P48:R49"/>
    <mergeCell ref="P64:Q64"/>
    <mergeCell ref="P65:Q65"/>
    <mergeCell ref="S63:U63"/>
    <mergeCell ref="S64:U64"/>
    <mergeCell ref="S65:U65"/>
    <mergeCell ref="G55:H55"/>
    <mergeCell ref="D54:E54"/>
    <mergeCell ref="L18:M18"/>
    <mergeCell ref="C10:E10"/>
    <mergeCell ref="P74:V74"/>
    <mergeCell ref="S62:U62"/>
    <mergeCell ref="P66:Q66"/>
    <mergeCell ref="S66:U66"/>
    <mergeCell ref="P63:Q63"/>
    <mergeCell ref="P70:V70"/>
    <mergeCell ref="K70:K73"/>
    <mergeCell ref="G67:H67"/>
    <mergeCell ref="G68:H68"/>
    <mergeCell ref="G69:H69"/>
    <mergeCell ref="L12:M12"/>
    <mergeCell ref="L70:L73"/>
    <mergeCell ref="L13:M13"/>
    <mergeCell ref="L15:M15"/>
    <mergeCell ref="L17:M17"/>
    <mergeCell ref="L14:M14"/>
    <mergeCell ref="L16:M16"/>
    <mergeCell ref="I59:L60"/>
    <mergeCell ref="L61:L62"/>
    <mergeCell ref="G56:H56"/>
    <mergeCell ref="N17:O17"/>
    <mergeCell ref="N18:O18"/>
    <mergeCell ref="N16:O16"/>
    <mergeCell ref="N14:O14"/>
    <mergeCell ref="G74:H74"/>
    <mergeCell ref="I61:I62"/>
    <mergeCell ref="G61:H62"/>
    <mergeCell ref="J61:J62"/>
    <mergeCell ref="K61:K62"/>
    <mergeCell ref="G70:H73"/>
    <mergeCell ref="I70:I73"/>
    <mergeCell ref="G65:H65"/>
    <mergeCell ref="G66:H66"/>
    <mergeCell ref="G63:H63"/>
    <mergeCell ref="G64:H64"/>
    <mergeCell ref="J70:J73"/>
    <mergeCell ref="G75:H75"/>
    <mergeCell ref="G76:H76"/>
    <mergeCell ref="G80:H80"/>
    <mergeCell ref="G81:H81"/>
    <mergeCell ref="G82:H82"/>
    <mergeCell ref="P80:Q80"/>
    <mergeCell ref="P81:Q81"/>
    <mergeCell ref="P82:Q82"/>
    <mergeCell ref="P83:Q83"/>
    <mergeCell ref="G84:H84"/>
    <mergeCell ref="G83:H83"/>
  </mergeCells>
  <phoneticPr fontId="93" type="noConversion"/>
  <conditionalFormatting sqref="E17:E22">
    <cfRule type="expression" dxfId="47" priority="48">
      <formula>OR($D17="No",$D17="None")</formula>
    </cfRule>
  </conditionalFormatting>
  <conditionalFormatting sqref="N12:P18">
    <cfRule type="expression" dxfId="46" priority="16">
      <formula>$L12="tHSCW / yr"</formula>
    </cfRule>
  </conditionalFormatting>
  <conditionalFormatting sqref="C13:E13 D14:E14">
    <cfRule type="expression" dxfId="45" priority="13">
      <formula>AND($D$12&lt;&gt;"WA",$D$12&lt;&gt;"NT")</formula>
    </cfRule>
  </conditionalFormatting>
  <conditionalFormatting sqref="C30:C33 D31:D33">
    <cfRule type="expression" dxfId="44" priority="12">
      <formula>$D$29="None"</formula>
    </cfRule>
  </conditionalFormatting>
  <conditionalFormatting sqref="I31:K32 I30:J30">
    <cfRule type="expression" dxfId="43" priority="11">
      <formula>$K$29="No"</formula>
    </cfRule>
  </conditionalFormatting>
  <conditionalFormatting sqref="N31:Q32 N30:P30">
    <cfRule type="expression" dxfId="42" priority="10">
      <formula>$Q$29="No"</formula>
    </cfRule>
  </conditionalFormatting>
  <conditionalFormatting sqref="C37:D42 C36">
    <cfRule type="expression" dxfId="41" priority="9">
      <formula>$D$35="No"</formula>
    </cfRule>
  </conditionalFormatting>
  <conditionalFormatting sqref="I37:K42 I36:J36">
    <cfRule type="expression" dxfId="40" priority="8">
      <formula>$K$35="No"</formula>
    </cfRule>
  </conditionalFormatting>
  <conditionalFormatting sqref="D13:E14">
    <cfRule type="expression" dxfId="39" priority="85">
      <formula>$D$11&lt;&gt;"OK"</formula>
    </cfRule>
  </conditionalFormatting>
  <conditionalFormatting sqref="D11">
    <cfRule type="cellIs" dxfId="38" priority="4" operator="equal">
      <formula>"OK"</formula>
    </cfRule>
  </conditionalFormatting>
  <conditionalFormatting sqref="J19">
    <cfRule type="cellIs" dxfId="37" priority="1" operator="equal">
      <formula>0</formula>
    </cfRule>
  </conditionalFormatting>
  <dataValidations xWindow="307" yWindow="456" count="20">
    <dataValidation type="decimal" operator="greaterThanOrEqual" allowBlank="1" showInputMessage="1" showErrorMessage="1" sqref="D63:D70 D55:D57 D72 D74:D77 D80:D84" xr:uid="{00000000-0002-0000-0100-000000000000}">
      <formula1>0</formula1>
    </dataValidation>
    <dataValidation type="decimal" allowBlank="1" showInputMessage="1" showErrorMessage="1" error="Type a number between 0 and 10." sqref="P51" xr:uid="{00000000-0002-0000-0100-000002000000}">
      <formula1>0</formula1>
      <formula2>10</formula2>
    </dataValidation>
    <dataValidation type="list" allowBlank="1" showInputMessage="1" showErrorMessage="1" sqref="D18:D22 K29 D35 K35 D39:D42 K39:K42" xr:uid="{00000000-0002-0000-0100-000003000000}">
      <formula1>"Yes,No"</formula1>
    </dataValidation>
    <dataValidation allowBlank="1" showInputMessage="1" showErrorMessage="1" prompt="Include the external cost of discharge (council fees etc.)." sqref="F81:F82 F84" xr:uid="{00000000-0002-0000-0100-000004000000}"/>
    <dataValidation type="textLength" operator="greaterThan" allowBlank="1" showInputMessage="1" showErrorMessage="1" error="Please do not leave this cell blank." prompt="This name will appear as the header on the output report." sqref="C10:E10" xr:uid="{00000000-0002-0000-0100-000005000000}">
      <formula1>0</formula1>
    </dataValidation>
    <dataValidation type="list" allowBlank="1" showInputMessage="1" showErrorMessage="1" sqref="D29" xr:uid="{00000000-0002-0000-0100-000006000000}">
      <formula1>Rendering_Options</formula1>
    </dataValidation>
    <dataValidation type="decimal" operator="greaterThanOrEqual" allowBlank="1" showInputMessage="1" showErrorMessage="1" error="Input a number zero or above, with no spaces or text." prompt="Input maximum production capacity for your selected year, in tonnes of HSCW for that year." sqref="J19" xr:uid="{00000000-0002-0000-0100-000007000000}">
      <formula1>0</formula1>
    </dataValidation>
    <dataValidation type="decimal" errorStyle="warning" operator="greaterThanOrEqual" allowBlank="1" showInputMessage="1" showErrorMessage="1" error="Input a number zero or greater, with no text or spaces." prompt="The weight of rendering product from carcasses processed on site that is processed in your rendering facility." sqref="D31" xr:uid="{00000000-0002-0000-0100-000008000000}">
      <formula1>0</formula1>
    </dataValidation>
    <dataValidation type="decimal" errorStyle="warning" operator="greaterThanOrEqual" allowBlank="1" showInputMessage="1" showErrorMessage="1" error="Input a number zero or greater, with no text or spaces." prompt="The weight of rendering product externally sourced and brought on site to be processed in your rendering facility." sqref="D32" xr:uid="{00000000-0002-0000-0100-000009000000}">
      <formula1>0</formula1>
    </dataValidation>
    <dataValidation type="decimal" errorStyle="warning" operator="greaterThanOrEqual" allowBlank="1" showInputMessage="1" showErrorMessage="1" error="Actual production for this species exceeds the maximum production capacity of your plant." prompt="Input product entering the boning room, including product from external sources." sqref="K31" xr:uid="{00000000-0002-0000-0100-00000A000000}">
      <formula1>0</formula1>
    </dataValidation>
    <dataValidation type="decimal" errorStyle="warning" operator="greaterThanOrEqual" allowBlank="1" showInputMessage="1" showErrorMessage="1" error="Actual production for this species exceeds the maximum production capacity of your plant." prompt="Input product that does not enter the boning room (i.e. carcasses not boned), including product from external sources." sqref="K32" xr:uid="{00000000-0002-0000-0100-00000B000000}">
      <formula1>0</formula1>
    </dataValidation>
    <dataValidation type="decimal" errorStyle="warning" operator="greaterThanOrEqual" allowBlank="1" showErrorMessage="1" error="Actual production for this species exceeds the maximum production capacity of your plant." prompt="Input product frozen (not just chilled)." sqref="Q32" xr:uid="{00000000-0002-0000-0100-00000C000000}">
      <formula1>0</formula1>
    </dataValidation>
    <dataValidation type="decimal" errorStyle="warning" operator="greaterThanOrEqual" allowBlank="1" showErrorMessage="1" error="Actual production for this species exceeds the maximum production capacity of your plant." prompt="Input product chilled (not frozen)." sqref="Q31 D37 K37" xr:uid="{00000000-0002-0000-0100-00000D000000}">
      <formula1>0</formula1>
    </dataValidation>
    <dataValidation type="list" allowBlank="1" showInputMessage="1" showErrorMessage="1" prompt="Select 'Yes' if any product is frozen on site. Otherwise select 'No'." sqref="Q29" xr:uid="{00000000-0002-0000-0100-000011000000}">
      <formula1>"Yes,No"</formula1>
    </dataValidation>
    <dataValidation type="list" allowBlank="1" showInputMessage="1" showErrorMessage="1" prompt="If your site holds live stock prior to slaughter, select 'Yes'._x000a_If your site receives carcasses only, for further processing, select 'No'." sqref="D17" xr:uid="{00000000-0002-0000-0100-000012000000}">
      <formula1>"Yes,No"</formula1>
    </dataValidation>
    <dataValidation type="decimal" operator="greaterThanOrEqual" allowBlank="1" showInputMessage="1" showErrorMessage="1" error="Type a number zero or above, with no text or spaces." sqref="G63:H72 G80:H84 G74:H76 G55:H56" xr:uid="{00000000-0002-0000-0100-000014000000}">
      <formula1>0</formula1>
    </dataValidation>
    <dataValidation type="list" allowBlank="1" showInputMessage="1" showErrorMessage="1" error="Please select from the drop-down list." prompt="Select biomass fuel type from drop-down list. Check that the selected fuel's heating value is close to your actual heating value." sqref="C70" xr:uid="{00000000-0002-0000-0100-000015000000}">
      <formula1>Biomass_Options</formula1>
    </dataValidation>
    <dataValidation type="decimal" operator="greaterThanOrEqual" allowBlank="1" showInputMessage="1" showErrorMessage="1" error="Do not type the units or any spaces, just the numbers." prompt="Input actual production for your selected year, in either tonnes of HSCW for that year or number of head processed for that year." sqref="K12:K18" xr:uid="{00000000-0002-0000-0100-000001000000}">
      <formula1>0</formula1>
    </dataValidation>
    <dataValidation type="decimal" operator="greaterThanOrEqual" allowBlank="1" showInputMessage="1" showErrorMessage="1" error="Do not type the units or any spaces, just the numbers." prompt="Input the average species weight in kilograms if it differs significantly from the default figure." sqref="P12:P18" xr:uid="{00000000-0002-0000-0100-00000E000000}">
      <formula1>0</formula1>
    </dataValidation>
    <dataValidation operator="greaterThanOrEqual" allowBlank="1" error="Input a number zero or above, with no spaces or text." prompt="Input maximum production capacity for your selected year, in either tonnes of HSCW for that year or number of head that could be processed for that year." sqref="J12:J18" xr:uid="{00000000-0002-0000-0100-00000F000000}"/>
  </dataValidations>
  <printOptions horizontalCentered="1" verticalCentered="1"/>
  <pageMargins left="0.23622047244094491" right="0.23622047244094491" top="0.74803149606299213" bottom="0.74803149606299213" header="0.31496062992125984" footer="0.31496062992125984"/>
  <pageSetup paperSize="9" scale="40" orientation="landscape" r:id="rId1"/>
  <headerFooter>
    <oddHeader>&amp;R&amp;G</oddHeader>
    <oddFooter xml:space="preserve">&amp;L&amp;G&amp;C&amp;"Arial,Regular"&amp;8&amp;A&amp;R&amp;"Arial,Regular"&amp;7© Energetics Pty Ltd 2016&amp;8         Page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9" id="{00000000-000E-0000-0100-00002E000000}">
            <xm:f>$D$52='Drop-downs'!$AB$18</xm:f>
            <x14:dxf>
              <font>
                <color theme="0"/>
              </font>
              <fill>
                <patternFill>
                  <bgColor theme="0"/>
                </patternFill>
              </fill>
              <border>
                <left/>
                <right/>
                <top/>
                <bottom/>
              </border>
            </x14:dxf>
          </x14:cfRule>
          <xm:sqref>C54:L54 K55:L56 C55:I55 C56:F57 I56</xm:sqref>
        </x14:conditionalFormatting>
        <x14:conditionalFormatting xmlns:xm="http://schemas.microsoft.com/office/excel/2006/main">
          <x14:cfRule type="expression" priority="14" id="{00000000-000E-0000-0100-00000B000000}">
            <xm:f>$D$52='Drop-downs'!$AB$18</xm:f>
            <x14:dxf>
              <font>
                <color theme="0"/>
              </font>
              <fill>
                <patternFill>
                  <bgColor theme="0"/>
                </patternFill>
              </fill>
              <border>
                <left/>
                <right/>
                <top/>
                <bottom/>
              </border>
            </x14:dxf>
          </x14:cfRule>
          <xm:sqref>J55:J56</xm:sqref>
        </x14:conditionalFormatting>
        <x14:conditionalFormatting xmlns:xm="http://schemas.microsoft.com/office/excel/2006/main">
          <x14:cfRule type="expression" priority="3" id="{71CD1B76-48A1-412A-8F39-10D161E1B235}">
            <xm:f>$C$70&lt;&gt;'Drop-downs'!$M$28</xm:f>
            <x14:dxf>
              <font>
                <color theme="0"/>
              </font>
              <fill>
                <patternFill>
                  <bgColor theme="0"/>
                </patternFill>
              </fill>
            </x14:dxf>
          </x14:cfRule>
          <xm:sqref>D71</xm:sqref>
        </x14:conditionalFormatting>
        <x14:conditionalFormatting xmlns:xm="http://schemas.microsoft.com/office/excel/2006/main">
          <x14:cfRule type="expression" priority="2" id="{CEA318AE-16D3-4225-9866-59DF37CA654F}">
            <xm:f>$D$52='Drop-downs'!$AB$18</xm:f>
            <x14:dxf>
              <font>
                <color theme="0"/>
              </font>
              <fill>
                <patternFill>
                  <bgColor theme="0"/>
                </patternFill>
              </fill>
              <border>
                <left/>
                <right/>
                <top/>
                <bottom/>
              </border>
            </x14:dxf>
          </x14:cfRule>
          <xm:sqref>G56:H56</xm:sqref>
        </x14:conditionalFormatting>
      </x14:conditionalFormattings>
    </ext>
    <ext xmlns:x14="http://schemas.microsoft.com/office/spreadsheetml/2009/9/main" uri="{CCE6A557-97BC-4b89-ADB6-D9C93CAAB3DF}">
      <x14:dataValidations xmlns:xm="http://schemas.microsoft.com/office/excel/2006/main" xWindow="307" yWindow="456" count="4">
        <x14:dataValidation type="list" allowBlank="1" showInputMessage="1" showErrorMessage="1" xr:uid="{00000000-0002-0000-0100-000016000000}">
          <x14:formula1>
            <xm:f>'Drop-downs'!$E$18:$E$19</xm:f>
          </x14:formula1>
          <xm:sqref>L12:L18</xm:sqref>
        </x14:dataValidation>
        <x14:dataValidation type="list" allowBlank="1" showInputMessage="1" showErrorMessage="1" xr:uid="{B666B83B-D7B4-4C07-8DCE-A76754F2DF46}">
          <x14:formula1>
            <xm:f>'Drop-downs'!$R$18:$R$25</xm:f>
          </x14:formula1>
          <xm:sqref>D12</xm:sqref>
        </x14:dataValidation>
        <x14:dataValidation type="list" allowBlank="1" showInputMessage="1" showErrorMessage="1" xr:uid="{29218349-5141-4B71-BFA6-2601B017BE99}">
          <x14:formula1>
            <xm:f>'Drop-downs'!$U$24:$U$25</xm:f>
          </x14:formula1>
          <xm:sqref>D13</xm:sqref>
        </x14:dataValidation>
        <x14:dataValidation type="list" allowBlank="1" showInputMessage="1" showErrorMessage="1" xr:uid="{3B8173C6-33D2-4510-B5E7-1103D4187248}">
          <x14:formula1>
            <xm:f>'Drop-downs'!$AB$18:$AB$21</xm:f>
          </x14:formula1>
          <xm:sqref>D52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tabColor theme="3" tint="0.39997558519241921"/>
    <pageSetUpPr fitToPage="1"/>
  </sheetPr>
  <dimension ref="A1:P102"/>
  <sheetViews>
    <sheetView showRowColHeaders="0" topLeftCell="A82" zoomScaleNormal="100" zoomScaleSheetLayoutView="85" workbookViewId="0"/>
  </sheetViews>
  <sheetFormatPr defaultColWidth="0" defaultRowHeight="0" customHeight="1" zeroHeight="1" x14ac:dyDescent="0.25"/>
  <cols>
    <col min="1" max="1" width="4.1796875" style="124" customWidth="1"/>
    <col min="2" max="2" width="5.81640625" style="124" customWidth="1"/>
    <col min="3" max="3" width="78.7265625" style="124" customWidth="1"/>
    <col min="4" max="6" width="16.453125" style="124" customWidth="1"/>
    <col min="7" max="7" width="16.453125" style="253" customWidth="1"/>
    <col min="8" max="8" width="19.54296875" style="124" customWidth="1"/>
    <col min="9" max="9" width="10.26953125" style="124" customWidth="1"/>
    <col min="10" max="10" width="4.1796875" style="124" customWidth="1"/>
    <col min="11" max="11" width="17.453125" style="124" hidden="1" customWidth="1"/>
    <col min="12" max="12" width="20.7265625" style="124" hidden="1" customWidth="1"/>
    <col min="13" max="16" width="10.26953125" style="124" hidden="1" customWidth="1"/>
    <col min="17" max="16384" width="9.1796875" style="124" hidden="1"/>
  </cols>
  <sheetData>
    <row r="1" spans="1:9" ht="12.75" customHeight="1" x14ac:dyDescent="0.25"/>
    <row r="2" spans="1:9" s="135" customFormat="1" ht="17.5" x14ac:dyDescent="0.25">
      <c r="B2" s="661" t="str">
        <f>HYPERLINK("#'Inputs'!$A$1","LINK: Return to Inputs Page")</f>
        <v>LINK: Return to Inputs Page</v>
      </c>
      <c r="C2" s="661"/>
      <c r="D2" s="311"/>
      <c r="E2" s="311"/>
      <c r="F2" s="311"/>
      <c r="G2" s="537"/>
    </row>
    <row r="3" spans="1:9" s="135" customFormat="1" ht="17.5" x14ac:dyDescent="0.25">
      <c r="B3" s="352"/>
      <c r="C3" s="352"/>
      <c r="D3" s="353"/>
      <c r="E3" s="353"/>
      <c r="F3" s="353"/>
      <c r="G3" s="537"/>
    </row>
    <row r="4" spans="1:9" s="253" customFormat="1" ht="28" x14ac:dyDescent="0.6">
      <c r="B4" s="428" t="str">
        <f>"Energy and water modeling results for "&amp;Inputs!C10</f>
        <v>Energy and water modeling results for AMPC Member</v>
      </c>
      <c r="C4" s="429"/>
      <c r="D4" s="429"/>
      <c r="E4" s="429"/>
      <c r="F4" s="429"/>
      <c r="G4" s="429"/>
      <c r="H4" s="429"/>
      <c r="I4" s="429"/>
    </row>
    <row r="5" spans="1:9" s="135" customFormat="1" ht="17.5" x14ac:dyDescent="0.25">
      <c r="B5" s="435"/>
      <c r="C5" s="435"/>
      <c r="D5" s="436"/>
      <c r="E5" s="436"/>
      <c r="F5" s="436"/>
      <c r="G5" s="537"/>
    </row>
    <row r="6" spans="1:9" s="253" customFormat="1" ht="19.5" thickBot="1" x14ac:dyDescent="0.45">
      <c r="B6" s="5" t="s">
        <v>786</v>
      </c>
      <c r="C6" s="5"/>
      <c r="D6" s="5"/>
      <c r="E6" s="5"/>
      <c r="F6" s="5"/>
      <c r="G6" s="5"/>
      <c r="H6" s="5"/>
      <c r="I6" s="5"/>
    </row>
    <row r="7" spans="1:9" s="135" customFormat="1" ht="18" thickTop="1" x14ac:dyDescent="0.25">
      <c r="B7" s="435"/>
      <c r="C7" s="435"/>
      <c r="D7" s="436"/>
      <c r="E7" s="436"/>
      <c r="F7" s="436"/>
      <c r="G7" s="537"/>
    </row>
    <row r="8" spans="1:9" s="135" customFormat="1" ht="17.5" hidden="1" x14ac:dyDescent="0.25">
      <c r="A8" s="435"/>
      <c r="B8" s="435"/>
      <c r="C8" s="435"/>
      <c r="D8" s="435"/>
      <c r="E8" s="435"/>
      <c r="F8" s="435"/>
      <c r="G8" s="536"/>
      <c r="H8" s="435"/>
    </row>
    <row r="9" spans="1:9" s="135" customFormat="1" ht="18" hidden="1" customHeight="1" x14ac:dyDescent="0.25">
      <c r="A9" s="435"/>
      <c r="B9" s="435"/>
      <c r="C9" s="435"/>
      <c r="D9" s="435"/>
      <c r="E9" s="435"/>
      <c r="F9" s="435"/>
      <c r="G9" s="536"/>
      <c r="H9" s="435"/>
    </row>
    <row r="10" spans="1:9" s="135" customFormat="1" ht="18" hidden="1" customHeight="1" x14ac:dyDescent="0.25">
      <c r="A10" s="435"/>
      <c r="B10" s="435"/>
      <c r="C10" s="435"/>
      <c r="D10" s="435"/>
      <c r="E10" s="435"/>
      <c r="F10" s="435"/>
      <c r="G10" s="536"/>
      <c r="H10" s="435"/>
    </row>
    <row r="11" spans="1:9" s="135" customFormat="1" ht="17.5" hidden="1" x14ac:dyDescent="0.25">
      <c r="A11" s="435"/>
      <c r="B11" s="435"/>
      <c r="C11" s="435"/>
      <c r="D11" s="435"/>
      <c r="E11" s="435"/>
      <c r="F11" s="435"/>
      <c r="G11" s="536"/>
      <c r="H11" s="435"/>
    </row>
    <row r="12" spans="1:9" s="135" customFormat="1" ht="17.5" hidden="1" x14ac:dyDescent="0.25">
      <c r="A12" s="435"/>
      <c r="B12" s="435"/>
      <c r="C12" s="435"/>
      <c r="D12" s="435"/>
      <c r="E12" s="435"/>
      <c r="F12" s="435"/>
      <c r="G12" s="536"/>
      <c r="H12" s="435"/>
    </row>
    <row r="13" spans="1:9" s="135" customFormat="1" ht="15.75" customHeight="1" x14ac:dyDescent="0.25">
      <c r="A13" s="435"/>
      <c r="B13" s="435"/>
      <c r="C13" s="435"/>
      <c r="D13" s="435"/>
      <c r="E13" s="435"/>
      <c r="F13" s="435"/>
      <c r="G13" s="536"/>
      <c r="H13" s="435"/>
    </row>
    <row r="14" spans="1:9" s="135" customFormat="1" ht="15.75" customHeight="1" x14ac:dyDescent="0.25">
      <c r="A14" s="435"/>
      <c r="B14" s="435"/>
      <c r="C14" s="435"/>
      <c r="D14" s="435"/>
      <c r="E14" s="435"/>
      <c r="F14" s="435"/>
      <c r="G14" s="536"/>
      <c r="H14" s="435"/>
    </row>
    <row r="15" spans="1:9" s="135" customFormat="1" ht="15.75" customHeight="1" x14ac:dyDescent="0.25">
      <c r="A15" s="435"/>
      <c r="D15" s="435"/>
      <c r="E15" s="435"/>
      <c r="F15" s="435"/>
      <c r="G15" s="536"/>
      <c r="H15" s="435"/>
    </row>
    <row r="16" spans="1:9" s="135" customFormat="1" ht="15.5" x14ac:dyDescent="0.35">
      <c r="B16" s="406"/>
      <c r="C16" s="438" t="s">
        <v>1065</v>
      </c>
      <c r="D16" s="646" t="s">
        <v>337</v>
      </c>
      <c r="E16" s="647"/>
      <c r="F16" s="646" t="s">
        <v>758</v>
      </c>
      <c r="G16" s="647"/>
      <c r="H16" s="460" t="s">
        <v>771</v>
      </c>
      <c r="I16" s="402"/>
    </row>
    <row r="17" spans="2:9" s="135" customFormat="1" ht="15.5" x14ac:dyDescent="0.35">
      <c r="B17" s="402"/>
      <c r="C17" s="438" t="s">
        <v>84</v>
      </c>
      <c r="D17" s="662">
        <f>Calculations!$G$205</f>
        <v>4875</v>
      </c>
      <c r="E17" s="662"/>
      <c r="F17" s="648">
        <f>Calculations!$J$64</f>
        <v>1.2717948717948717</v>
      </c>
      <c r="G17" s="649"/>
      <c r="H17" s="461">
        <f>F17*D17/1000</f>
        <v>6.2</v>
      </c>
      <c r="I17" s="439"/>
    </row>
    <row r="18" spans="2:9" s="135" customFormat="1" ht="15.5" x14ac:dyDescent="0.35">
      <c r="B18" s="402"/>
      <c r="C18" s="438" t="s">
        <v>72</v>
      </c>
      <c r="D18" s="663">
        <f>Calculations!$G$208</f>
        <v>350</v>
      </c>
      <c r="E18" s="663"/>
      <c r="F18" s="650">
        <f>Calculations!$J$65</f>
        <v>0.15357142857142858</v>
      </c>
      <c r="G18" s="651"/>
      <c r="H18" s="461">
        <f>D18*F18</f>
        <v>53.75</v>
      </c>
      <c r="I18" s="440"/>
    </row>
    <row r="19" spans="2:9" s="135" customFormat="1" ht="15.5" x14ac:dyDescent="0.35">
      <c r="B19" s="402"/>
      <c r="C19" s="441" t="s">
        <v>713</v>
      </c>
      <c r="D19" s="664">
        <f>Calculations!$F$66</f>
        <v>6135</v>
      </c>
      <c r="E19" s="664"/>
      <c r="F19" s="652">
        <f>Calculations!$J$66</f>
        <v>9.7718011409942953</v>
      </c>
      <c r="G19" s="653"/>
      <c r="H19" s="462">
        <f>F19*D19/1000</f>
        <v>59.95</v>
      </c>
      <c r="I19" s="442"/>
    </row>
    <row r="20" spans="2:9" s="135" customFormat="1" ht="15.5" x14ac:dyDescent="0.35">
      <c r="B20" s="402"/>
      <c r="C20" s="438" t="s">
        <v>67</v>
      </c>
      <c r="D20" s="665">
        <f>Calculations!$G$211</f>
        <v>15</v>
      </c>
      <c r="E20" s="665"/>
      <c r="F20" s="654">
        <f>Calculations!$J$67</f>
        <v>3.875</v>
      </c>
      <c r="G20" s="655"/>
      <c r="H20" s="461">
        <f>D20*F20</f>
        <v>58.125</v>
      </c>
      <c r="I20" s="443"/>
    </row>
    <row r="21" spans="2:9" s="253" customFormat="1" ht="12.5" x14ac:dyDescent="0.25"/>
    <row r="22" spans="2:9" s="253" customFormat="1" ht="15.5" x14ac:dyDescent="0.35">
      <c r="C22" s="438" t="s">
        <v>1063</v>
      </c>
      <c r="D22" s="666" t="s">
        <v>337</v>
      </c>
      <c r="E22" s="667"/>
      <c r="F22" s="645" t="s">
        <v>1064</v>
      </c>
      <c r="G22" s="645"/>
    </row>
    <row r="23" spans="2:9" s="253" customFormat="1" ht="15.5" x14ac:dyDescent="0.35">
      <c r="C23" s="438" t="s">
        <v>1012</v>
      </c>
      <c r="D23" s="658">
        <f>Inputs!R81</f>
        <v>233.17325</v>
      </c>
      <c r="E23" s="659"/>
      <c r="F23" s="656">
        <f>Inputs!V81</f>
        <v>9326.93</v>
      </c>
      <c r="G23" s="657"/>
    </row>
    <row r="24" spans="2:9" s="253" customFormat="1" ht="15.5" x14ac:dyDescent="0.35">
      <c r="C24" s="438" t="s">
        <v>1014</v>
      </c>
      <c r="D24" s="660">
        <f>Inputs!R82</f>
        <v>98</v>
      </c>
      <c r="E24" s="660"/>
      <c r="F24" s="656">
        <f>Inputs!V82</f>
        <v>3920</v>
      </c>
      <c r="G24" s="657"/>
    </row>
    <row r="25" spans="2:9" s="253" customFormat="1" ht="15.5" x14ac:dyDescent="0.35">
      <c r="C25" s="441" t="s">
        <v>1013</v>
      </c>
      <c r="D25" s="660">
        <f>Inputs!R83</f>
        <v>331.17325000000005</v>
      </c>
      <c r="E25" s="660"/>
      <c r="F25" s="656">
        <f>Inputs!V83</f>
        <v>13246.93</v>
      </c>
      <c r="G25" s="657"/>
    </row>
    <row r="26" spans="2:9" s="253" customFormat="1" ht="12.75" customHeight="1" x14ac:dyDescent="0.25"/>
    <row r="27" spans="2:9" ht="19.5" thickBot="1" x14ac:dyDescent="0.45">
      <c r="B27" s="5" t="s">
        <v>769</v>
      </c>
      <c r="C27" s="5"/>
      <c r="D27" s="5"/>
      <c r="E27" s="5"/>
      <c r="F27" s="5"/>
      <c r="G27" s="5"/>
      <c r="H27" s="5"/>
      <c r="I27" s="5"/>
    </row>
    <row r="28" spans="2:9" ht="13" thickTop="1" x14ac:dyDescent="0.25"/>
    <row r="29" spans="2:9" ht="12.75" customHeight="1" x14ac:dyDescent="0.25"/>
    <row r="30" spans="2:9" ht="12.75" customHeight="1" x14ac:dyDescent="0.25"/>
    <row r="31" spans="2:9" ht="12.75" customHeight="1" x14ac:dyDescent="0.25"/>
    <row r="32" spans="2:9" ht="12.75" customHeight="1" x14ac:dyDescent="0.25"/>
    <row r="33" spans="2:3" ht="12.75" customHeight="1" x14ac:dyDescent="0.25"/>
    <row r="34" spans="2:3" ht="12.75" customHeight="1" x14ac:dyDescent="0.25"/>
    <row r="35" spans="2:3" ht="12.75" customHeight="1" x14ac:dyDescent="0.25"/>
    <row r="36" spans="2:3" ht="12.75" customHeight="1" x14ac:dyDescent="0.25"/>
    <row r="37" spans="2:3" ht="12.75" customHeight="1" x14ac:dyDescent="0.25"/>
    <row r="38" spans="2:3" ht="12.75" customHeight="1" x14ac:dyDescent="0.25"/>
    <row r="39" spans="2:3" ht="12.75" customHeight="1" x14ac:dyDescent="0.25"/>
    <row r="40" spans="2:3" ht="12.75" customHeight="1" x14ac:dyDescent="0.25"/>
    <row r="41" spans="2:3" ht="12.75" customHeight="1" x14ac:dyDescent="0.25"/>
    <row r="42" spans="2:3" ht="12.75" customHeight="1" x14ac:dyDescent="0.25"/>
    <row r="43" spans="2:3" ht="12.75" customHeight="1" x14ac:dyDescent="0.25"/>
    <row r="44" spans="2:3" ht="12.75" customHeight="1" x14ac:dyDescent="0.25"/>
    <row r="45" spans="2:3" ht="12.75" customHeight="1" x14ac:dyDescent="0.25"/>
    <row r="46" spans="2:3" ht="12.75" customHeight="1" x14ac:dyDescent="0.25"/>
    <row r="47" spans="2:3" ht="12.75" customHeight="1" x14ac:dyDescent="0.3">
      <c r="B47" s="351"/>
      <c r="C47" s="528" t="s">
        <v>943</v>
      </c>
    </row>
    <row r="48" spans="2:3" s="253" customFormat="1" ht="12.75" customHeight="1" x14ac:dyDescent="0.25"/>
    <row r="49" spans="2:10" s="253" customFormat="1" ht="12.75" customHeight="1" x14ac:dyDescent="0.25"/>
    <row r="50" spans="2:10" ht="12.75" customHeight="1" x14ac:dyDescent="0.25"/>
    <row r="51" spans="2:10" ht="19.5" thickBot="1" x14ac:dyDescent="0.45">
      <c r="B51" s="5" t="str">
        <f>"Benchmarking Results - Thermal Energy, "&amp;Inputs!$C$10</f>
        <v>Benchmarking Results - Thermal Energy, AMPC Member</v>
      </c>
      <c r="C51" s="5"/>
      <c r="D51" s="5"/>
      <c r="E51" s="5"/>
      <c r="F51" s="5"/>
      <c r="G51" s="5"/>
      <c r="H51" s="5"/>
      <c r="I51" s="5"/>
    </row>
    <row r="52" spans="2:10" ht="13" thickTop="1" x14ac:dyDescent="0.25"/>
    <row r="53" spans="2:10" ht="48.75" customHeight="1" x14ac:dyDescent="0.25"/>
    <row r="54" spans="2:10" s="557" customFormat="1" ht="62" x14ac:dyDescent="0.25">
      <c r="C54" s="562" t="str">
        <f>IFERROR(INDEX('Performance Pyramid'!$G$49:$G$53,MATCH(INDEX('Performance Pyramid'!$I$59:$K$61,1,MATCH(Calculations!$G$197,'Performance Pyramid'!$D$48:$F$48,0)),Opportunity_Category,0)),"")</f>
        <v xml:space="preserve">The next step in an effective thermal efficiency improvement plan is to assess the scope for improving the energy efficiency of key thermal equipment such as boilers and hot water systems.  
</v>
      </c>
    </row>
    <row r="55" spans="2:10" ht="77.5" x14ac:dyDescent="0.3">
      <c r="B55" s="8"/>
      <c r="C55" s="562" t="str">
        <f>IFERROR(INDEX('Performance Pyramid'!$G$49:$G$53,MATCH(INDEX('Performance Pyramid'!$I$59:$K$61,2,MATCH(Calculations!$G$197,'Performance Pyramid'!$D$48:$F$48,0)),Opportunity_Category,0)),"")</f>
        <v>Once the housekeeping and energy efficiency elements are under control the next step in the program is to improve thermal energy use at a process level. This involves reviewing thermal energy use in plant areas such as rendering, plant condensers, hot water heat exchangers, sterilisers using hot water and other processes utilising hot water.</v>
      </c>
      <c r="D55" s="8"/>
      <c r="F55" s="8"/>
      <c r="G55" s="8"/>
      <c r="H55" s="8"/>
      <c r="J55" s="9"/>
    </row>
    <row r="56" spans="2:10" s="253" customFormat="1" ht="60" customHeight="1" x14ac:dyDescent="0.3">
      <c r="B56" s="8"/>
      <c r="C56" s="562"/>
      <c r="D56" s="8"/>
      <c r="F56" s="8"/>
      <c r="G56" s="8"/>
      <c r="H56" s="8"/>
      <c r="J56" s="9"/>
    </row>
    <row r="57" spans="2:10" s="253" customFormat="1" ht="15.5" x14ac:dyDescent="0.3">
      <c r="B57" s="8"/>
      <c r="C57" s="135" t="str">
        <f>IF('Opp Library - PT'!A165=0,0,'Opp Library - PT'!A165)&amp;IF('Opp Library - PT'!A165=1," opportunity was"," opportunities were")&amp;" screened out due to exceeding the payback period"</f>
        <v>6 opportunities were screened out due to exceeding the payback period</v>
      </c>
      <c r="D57" s="8"/>
      <c r="F57" s="8"/>
      <c r="G57" s="8"/>
      <c r="H57" s="8"/>
      <c r="J57" s="9"/>
    </row>
    <row r="58" spans="2:10" s="135" customFormat="1" ht="15.5" x14ac:dyDescent="0.25">
      <c r="B58" s="252"/>
      <c r="D58" s="252"/>
      <c r="E58" s="252"/>
      <c r="F58" s="252"/>
      <c r="G58" s="537"/>
    </row>
    <row r="59" spans="2:10" s="135" customFormat="1" ht="62" x14ac:dyDescent="0.25">
      <c r="C59" s="319" t="s">
        <v>503</v>
      </c>
      <c r="D59" s="320" t="str">
        <f>"Savings ($ / year), to "&amp;'Opp Library - PT'!$B$14&amp;" digits"</f>
        <v>Savings ($ / year), to 2 digits</v>
      </c>
      <c r="E59" s="233" t="s">
        <v>500</v>
      </c>
      <c r="F59" s="233" t="s">
        <v>501</v>
      </c>
      <c r="G59" s="555" t="s">
        <v>1059</v>
      </c>
      <c r="H59" s="233" t="s">
        <v>502</v>
      </c>
    </row>
    <row r="60" spans="2:10" s="135" customFormat="1" ht="15.5" x14ac:dyDescent="0.25">
      <c r="C60" s="234" t="str">
        <f ca="1">IF('Opp Library - PT'!A21=0,"nil",'Opp Library - PT'!A21)</f>
        <v xml:space="preserve">Enhance heat transfer on fire tube boiler with turbulators.     </v>
      </c>
      <c r="D60" s="321">
        <f ca="1">IF('Opp Library - PT'!A21=0,"",'Opp Library - PT'!B21)</f>
        <v>3700</v>
      </c>
      <c r="E60" s="322">
        <f ca="1">IF('Opp Library - PT'!A21=0,"",'Opp Library - PT'!C21)</f>
        <v>3700</v>
      </c>
      <c r="F60" s="233" t="str">
        <f ca="1">IF('Opp Library - PT'!A21=0,"",IF(AND('Opp Library - PT'!D21=0,'Opp Library - PT'!E21=0),"Immediate",'Opp Library - PT'!D21&amp;" - "&amp;'Opp Library - PT'!E21))</f>
        <v>0.8 - 1</v>
      </c>
      <c r="G60" s="558">
        <f ca="1">IF('Opp Library - PT'!A21=0,"",'Opp Library - PT'!G21)</f>
        <v>150</v>
      </c>
      <c r="H60" s="348" t="str">
        <f ca="1">IF('Opp Library - PT'!A21=0,"",IF(LEN('Opp Library - PT'!F21)=0,"No link",HYPERLINK('Opp Library - PT'!F21,"Link")))</f>
        <v>No link</v>
      </c>
    </row>
    <row r="61" spans="2:10" s="135" customFormat="1" ht="62" x14ac:dyDescent="0.25">
      <c r="C61" s="234" t="str">
        <f ca="1">IF('Opp Library - PT'!A22=0,"",'Opp Library - PT'!A22)</f>
        <v>Install a heat recovery system on the air compressor oil cooling circuit to produce hot water suitable for process cleaning (temperatures up to 70 degrees C). This opportunity may not be applicable if the plant already has enough hot water or there is insufficient hot water storage.</v>
      </c>
      <c r="D61" s="321">
        <f ca="1">IF('Opp Library - PT'!A22=0,"",'Opp Library - PT'!B22)</f>
        <v>2500</v>
      </c>
      <c r="E61" s="322">
        <f ca="1">IF('Opp Library - PT'!A22=0,"",'Opp Library - PT'!C22)</f>
        <v>7400</v>
      </c>
      <c r="F61" s="233" t="str">
        <f ca="1">IF('Opp Library - PT'!A22=0,"",IF(AND('Opp Library - PT'!D22=0,'Opp Library - PT'!E22=0),"Immediate",'Opp Library - PT'!D22&amp;" - "&amp;'Opp Library - PT'!E22))</f>
        <v>2 - 4</v>
      </c>
      <c r="G61" s="558">
        <f ca="1">IF('Opp Library - PT'!A22=0,"",'Opp Library - PT'!G22)</f>
        <v>100</v>
      </c>
      <c r="H61" s="348" t="str">
        <f ca="1">IF('Opp Library - PT'!A22=0,"",IF(LEN('Opp Library - PT'!F22)=0,"No link",HYPERLINK('Opp Library - PT'!F22,"Link")))</f>
        <v>No link</v>
      </c>
    </row>
    <row r="62" spans="2:10" s="135" customFormat="1" ht="31" x14ac:dyDescent="0.25">
      <c r="C62" s="234" t="str">
        <f ca="1">IF('Opp Library - PT'!A23=0,"",'Opp Library - PT'!A23)</f>
        <v>Install additional hot water storage if clean hot water is being sent to drain after heat recovery from the rendering plant.</v>
      </c>
      <c r="D62" s="321">
        <f ca="1">IF('Opp Library - PT'!A23=0,"",'Opp Library - PT'!B23)</f>
        <v>1200</v>
      </c>
      <c r="E62" s="322">
        <f ca="1">IF('Opp Library - PT'!A23=0,"",'Opp Library - PT'!C23)</f>
        <v>2500</v>
      </c>
      <c r="F62" s="233" t="str">
        <f ca="1">IF('Opp Library - PT'!A23=0,"",IF(AND('Opp Library - PT'!D23=0,'Opp Library - PT'!E23=0),"Immediate",'Opp Library - PT'!D23&amp;" - "&amp;'Opp Library - PT'!E23))</f>
        <v>2 - 3</v>
      </c>
      <c r="G62" s="558">
        <f ca="1">IF('Opp Library - PT'!A23=0,"",'Opp Library - PT'!G23)</f>
        <v>50</v>
      </c>
      <c r="H62" s="348" t="str">
        <f ca="1">IF('Opp Library - PT'!A23=0,"",IF(LEN('Opp Library - PT'!F23)=0,"No link",HYPERLINK('Opp Library - PT'!F23,"Link")))</f>
        <v>No link</v>
      </c>
    </row>
    <row r="63" spans="2:10" s="135" customFormat="1" ht="46.5" x14ac:dyDescent="0.25">
      <c r="C63" s="234" t="str">
        <f ca="1">IF('Opp Library - PT'!A24=0,"",'Opp Library - PT'!A24)</f>
        <v xml:space="preserve">Install a refrigeration heat recovery system to supplement hot water supply. This opportunity applies when additional hot water is required and there is sufficient hot water storage to ensure that hot water is not sent to drain. </v>
      </c>
      <c r="D63" s="321">
        <f ca="1">IF('Opp Library - PT'!A24=0,"",'Opp Library - PT'!B24)</f>
        <v>7400</v>
      </c>
      <c r="E63" s="322">
        <f ca="1">IF('Opp Library - PT'!A24=0,"",'Opp Library - PT'!C24)</f>
        <v>22000</v>
      </c>
      <c r="F63" s="233" t="str">
        <f ca="1">IF('Opp Library - PT'!A24=0,"",IF(AND('Opp Library - PT'!D24=0,'Opp Library - PT'!E24=0),"Immediate",'Opp Library - PT'!D24&amp;" - "&amp;'Opp Library - PT'!E24))</f>
        <v>2 - 4</v>
      </c>
      <c r="G63" s="558">
        <f ca="1">IF('Opp Library - PT'!A24=0,"",'Opp Library - PT'!G24)</f>
        <v>300</v>
      </c>
      <c r="H63" s="348" t="str">
        <f ca="1">IF('Opp Library - PT'!A24=0,"",IF(LEN('Opp Library - PT'!F24)=0,"No link",HYPERLINK('Opp Library - PT'!F24,"Link")))</f>
        <v>Link</v>
      </c>
    </row>
    <row r="64" spans="2:10" s="133" customFormat="1" ht="12.75" customHeight="1" x14ac:dyDescent="0.35"/>
    <row r="65" spans="2:9" s="133" customFormat="1" ht="12.75" customHeight="1" x14ac:dyDescent="0.35"/>
    <row r="66" spans="2:9" s="128" customFormat="1" ht="19.5" thickBot="1" x14ac:dyDescent="0.45">
      <c r="B66" s="5" t="str">
        <f>"Benchmarking Results - Electrical Energy, "&amp;Inputs!$C$10</f>
        <v>Benchmarking Results - Electrical Energy, AMPC Member</v>
      </c>
      <c r="C66" s="5"/>
      <c r="D66" s="5"/>
      <c r="E66" s="5"/>
      <c r="F66" s="5"/>
      <c r="G66" s="5"/>
      <c r="H66" s="5"/>
      <c r="I66" s="5"/>
    </row>
    <row r="67" spans="2:9" s="128" customFormat="1" ht="13" thickTop="1" x14ac:dyDescent="0.25">
      <c r="G67" s="253"/>
    </row>
    <row r="68" spans="2:9" s="128" customFormat="1" ht="49.5" customHeight="1" x14ac:dyDescent="0.25">
      <c r="G68" s="253"/>
    </row>
    <row r="69" spans="2:9" s="557" customFormat="1" ht="12.5" x14ac:dyDescent="0.25"/>
    <row r="70" spans="2:9" ht="77.5" x14ac:dyDescent="0.25">
      <c r="C70" s="562" t="str">
        <f>IFERROR(INDEX('Performance Pyramid'!$H$49:$H$53,MATCH(INDEX('Performance Pyramid'!$I$59:$K$61,1,MATCH(Calculations!$G$198,'Performance Pyramid'!$D$48:$F$48,0)),Opportunity_Category,0)),"")</f>
        <v xml:space="preserve">Cogeneration is the generation of both electricity and thermal energy on site. Red meat processing plants generally have high thermal loads. As such, many cogeneration systems are sized to meet the site's electrical load, with heat generated from the system used to offset part of the thermal demand originally supplied by existing boilers. </v>
      </c>
    </row>
    <row r="71" spans="2:9" s="253" customFormat="1" ht="93" x14ac:dyDescent="0.25">
      <c r="C71" s="562" t="str">
        <f>IFERROR(INDEX('Performance Pyramid'!$H$49:$H$53,MATCH(INDEX('Performance Pyramid'!$I$59:$K$61,2,MATCH(Calculations!$G$198,'Performance Pyramid'!$D$48:$F$48,0)),Opportunity_Category,0)),"")</f>
        <v xml:space="preserve">Renewable electricity generation from solar photovoltaic (PV) is becoming cost effective for plants with high electricity prices. The size of a solar PV system is generally limited by the electrical demand during peak periods (in order to reduce exporting electricity to back to the grid) or the roof size available - whichever is smaller. Larger scale systems with electricity export and battery storage are also under consideration. </v>
      </c>
    </row>
    <row r="72" spans="2:9" s="253" customFormat="1" ht="15.5" x14ac:dyDescent="0.25">
      <c r="C72" s="562"/>
    </row>
    <row r="73" spans="2:9" s="253" customFormat="1" ht="15.5" x14ac:dyDescent="0.25">
      <c r="C73" s="135" t="str">
        <f>IF('Opp Library - PT'!D165=0,0,'Opp Library - PT'!D165)&amp;IF('Opp Library - PT'!D165=1," opportunity was"," opportunities were")&amp;" screened out due to exceeding the payback period"</f>
        <v>5 opportunities were screened out due to exceeding the payback period</v>
      </c>
    </row>
    <row r="74" spans="2:9" s="253" customFormat="1" ht="15.5" x14ac:dyDescent="0.25">
      <c r="C74" s="135"/>
    </row>
    <row r="75" spans="2:9" s="135" customFormat="1" ht="62" x14ac:dyDescent="0.25">
      <c r="C75" s="319" t="s">
        <v>503</v>
      </c>
      <c r="D75" s="320" t="str">
        <f>"Savings ($ / year), to "&amp;'Opp Library - PT'!$B$14&amp;" digits"</f>
        <v>Savings ($ / year), to 2 digits</v>
      </c>
      <c r="E75" s="233" t="s">
        <v>500</v>
      </c>
      <c r="F75" s="233" t="s">
        <v>501</v>
      </c>
      <c r="G75" s="555" t="s">
        <v>1062</v>
      </c>
      <c r="H75" s="233" t="s">
        <v>502</v>
      </c>
    </row>
    <row r="76" spans="2:9" s="135" customFormat="1" ht="15.5" x14ac:dyDescent="0.25">
      <c r="C76" s="234" t="str">
        <f ca="1">IF('Opp Library - PT'!A28=0,"nil",'Opp Library - PT'!A28)</f>
        <v>nil</v>
      </c>
      <c r="D76" s="321" t="str">
        <f ca="1">IF('Opp Library - PT'!A28=0,"",'Opp Library - PT'!B28)</f>
        <v/>
      </c>
      <c r="E76" s="322" t="str">
        <f ca="1">IF('Opp Library - PT'!A28=0,"",'Opp Library - PT'!C28)</f>
        <v/>
      </c>
      <c r="F76" s="233" t="str">
        <f ca="1">IF('Opp Library - PT'!A28=0,"",IF(AND('Opp Library - PT'!D28=0,'Opp Library - PT'!E28=0),"Immediate",'Opp Library - PT'!D28&amp;" - "&amp;'Opp Library - PT'!E28))</f>
        <v/>
      </c>
      <c r="G76" s="558" t="str">
        <f ca="1">IF('Opp Library - PT'!A28=0,"",'Opp Library - PT'!G28)</f>
        <v/>
      </c>
      <c r="H76" s="348" t="str">
        <f ca="1">IF('Opp Library - PT'!A28=0,"",IF(LEN('Opp Library - PT'!F28)=0,"No link",HYPERLINK('Opp Library - PT'!F28,"Link")))</f>
        <v/>
      </c>
    </row>
    <row r="77" spans="2:9" s="135" customFormat="1" ht="15.5" x14ac:dyDescent="0.25">
      <c r="C77" s="234" t="str">
        <f ca="1">IF('Opp Library - PT'!A29=0,"",'Opp Library - PT'!A29)</f>
        <v/>
      </c>
      <c r="D77" s="321" t="str">
        <f ca="1">IF('Opp Library - PT'!A29=0,"",'Opp Library - PT'!B29)</f>
        <v/>
      </c>
      <c r="E77" s="322" t="str">
        <f ca="1">IF('Opp Library - PT'!A29=0,"",'Opp Library - PT'!C29)</f>
        <v/>
      </c>
      <c r="F77" s="233" t="str">
        <f ca="1">IF('Opp Library - PT'!A29=0,"",IF(AND('Opp Library - PT'!D29=0,'Opp Library - PT'!E29=0),"Immediate",'Opp Library - PT'!D29&amp;" - "&amp;'Opp Library - PT'!E29))</f>
        <v/>
      </c>
      <c r="G77" s="558" t="str">
        <f ca="1">IF('Opp Library - PT'!A29=0,"",'Opp Library - PT'!G29)</f>
        <v/>
      </c>
      <c r="H77" s="348" t="str">
        <f ca="1">IF('Opp Library - PT'!A29=0,"",IF(LEN('Opp Library - PT'!F29)=0,"No link",HYPERLINK('Opp Library - PT'!F29,"Link")))</f>
        <v/>
      </c>
    </row>
    <row r="78" spans="2:9" s="135" customFormat="1" ht="15.5" x14ac:dyDescent="0.25">
      <c r="C78" s="234" t="str">
        <f ca="1">IF('Opp Library - PT'!A30=0,"",'Opp Library - PT'!A30)</f>
        <v/>
      </c>
      <c r="D78" s="321" t="str">
        <f ca="1">IF('Opp Library - PT'!A30=0,"",'Opp Library - PT'!B30)</f>
        <v/>
      </c>
      <c r="E78" s="322" t="str">
        <f ca="1">IF('Opp Library - PT'!A30=0,"",'Opp Library - PT'!C30)</f>
        <v/>
      </c>
      <c r="F78" s="233" t="str">
        <f ca="1">IF('Opp Library - PT'!A30=0,"",IF(AND('Opp Library - PT'!D30=0,'Opp Library - PT'!E30=0),"Immediate",'Opp Library - PT'!D30&amp;" - "&amp;'Opp Library - PT'!E30))</f>
        <v/>
      </c>
      <c r="G78" s="558" t="str">
        <f ca="1">IF('Opp Library - PT'!A30=0,"",'Opp Library - PT'!G30)</f>
        <v/>
      </c>
      <c r="H78" s="348" t="str">
        <f ca="1">IF('Opp Library - PT'!A30=0,"",IF(LEN('Opp Library - PT'!F30)=0,"No link",HYPERLINK('Opp Library - PT'!F30,"Link")))</f>
        <v/>
      </c>
    </row>
    <row r="79" spans="2:9" s="135" customFormat="1" ht="15.5" x14ac:dyDescent="0.25">
      <c r="C79" s="234" t="str">
        <f ca="1">IF('Opp Library - PT'!A31=0,"",'Opp Library - PT'!A31)</f>
        <v/>
      </c>
      <c r="D79" s="321" t="str">
        <f ca="1">IF('Opp Library - PT'!A31=0,"",'Opp Library - PT'!B31)</f>
        <v/>
      </c>
      <c r="E79" s="322" t="str">
        <f ca="1">IF('Opp Library - PT'!A31=0,"",'Opp Library - PT'!C31)</f>
        <v/>
      </c>
      <c r="F79" s="233" t="str">
        <f ca="1">IF('Opp Library - PT'!A31=0,"",IF(AND('Opp Library - PT'!D31=0,'Opp Library - PT'!E31=0),"Immediate",'Opp Library - PT'!D31&amp;" - "&amp;'Opp Library - PT'!E31))</f>
        <v/>
      </c>
      <c r="G79" s="558" t="str">
        <f ca="1">IF('Opp Library - PT'!A31=0,"",'Opp Library - PT'!G31)</f>
        <v/>
      </c>
      <c r="H79" s="348" t="str">
        <f ca="1">IF('Opp Library - PT'!A31=0,"",IF(LEN('Opp Library - PT'!F31)=0,"No link",HYPERLINK('Opp Library - PT'!F31,"Link")))</f>
        <v/>
      </c>
    </row>
    <row r="80" spans="2:9" s="133" customFormat="1" ht="12.75" customHeight="1" x14ac:dyDescent="0.35"/>
    <row r="81" spans="2:10" s="133" customFormat="1" ht="12.75" customHeight="1" x14ac:dyDescent="0.35"/>
    <row r="82" spans="2:10" ht="19.5" thickBot="1" x14ac:dyDescent="0.45">
      <c r="B82" s="5" t="str">
        <f>"Benchmarking Results - Water Use, "&amp;Inputs!$C$10</f>
        <v>Benchmarking Results - Water Use, AMPC Member</v>
      </c>
      <c r="C82" s="5"/>
      <c r="D82" s="5"/>
      <c r="E82" s="5"/>
      <c r="F82" s="5"/>
      <c r="G82" s="5"/>
      <c r="H82" s="5"/>
      <c r="I82" s="5"/>
    </row>
    <row r="83" spans="2:10" ht="12.75" customHeight="1" thickTop="1" x14ac:dyDescent="0.25"/>
    <row r="84" spans="2:10" s="128" customFormat="1" ht="12.5" x14ac:dyDescent="0.25">
      <c r="G84" s="253"/>
    </row>
    <row r="85" spans="2:10" s="128" customFormat="1" ht="27" customHeight="1" x14ac:dyDescent="0.25">
      <c r="G85" s="253"/>
    </row>
    <row r="86" spans="2:10" s="253" customFormat="1" ht="62" x14ac:dyDescent="0.25">
      <c r="C86" s="318" t="str">
        <f>IFERROR(INDEX('Performance Pyramid'!$I$49:$I$53,MATCH(INDEX('Performance Pyramid'!$I$59:$K$61,1,MATCH(Calculations!$G$199,'Performance Pyramid'!$D$48:$F$48,0)),Opportunity_Category,0)),"")</f>
        <v>The next step in an effective water efficency improvement program is to assess the scope for improving water use in key water consumption areas such hot and cold water used for cleaning in stockyards, slaughter rooms, boning rooms and rendering plants.</v>
      </c>
    </row>
    <row r="87" spans="2:10" s="128" customFormat="1" ht="62" x14ac:dyDescent="0.3">
      <c r="B87" s="8"/>
      <c r="C87" s="318" t="str">
        <f>IFERROR(INDEX('Performance Pyramid'!$I$49:$I$53,MATCH(INDEX('Performance Pyramid'!$I$59:$K$61,2,MATCH(Calculations!$G$199,'Performance Pyramid'!$D$48:$F$48,0)),Opportunity_Category,0)),"")</f>
        <v>Once the housekeeping and water efficiency elements are under control the next step in the program is to improve water use at a process level. This involves reviewing water use in areas such as the water recycle and reuse systems, stockyards, sterilisation and washdown.</v>
      </c>
      <c r="D87" s="8"/>
      <c r="F87" s="8"/>
      <c r="G87" s="8"/>
      <c r="H87" s="8"/>
      <c r="J87" s="9"/>
    </row>
    <row r="88" spans="2:10" s="135" customFormat="1" ht="15.5" x14ac:dyDescent="0.25">
      <c r="D88" s="318"/>
      <c r="E88" s="318"/>
      <c r="F88" s="318"/>
      <c r="G88" s="537"/>
    </row>
    <row r="89" spans="2:10" s="133" customFormat="1" ht="12.75" customHeight="1" x14ac:dyDescent="0.35">
      <c r="C89" s="135" t="str">
        <f>IF('Opp Library - PT'!G165=0,0,'Opp Library - PT'!G165)&amp;IF('Opp Library - PT'!G165=1," opportunity was"," opportunities were")&amp;" screened out due to exceeding the payback period"</f>
        <v>4 opportunities were screened out due to exceeding the payback period</v>
      </c>
    </row>
    <row r="90" spans="2:10" s="133" customFormat="1" ht="15.5" x14ac:dyDescent="0.35"/>
    <row r="91" spans="2:10" s="133" customFormat="1" ht="15.5" x14ac:dyDescent="0.35"/>
    <row r="92" spans="2:10" s="133" customFormat="1" ht="15.5" x14ac:dyDescent="0.35"/>
    <row r="93" spans="2:10" s="133" customFormat="1" ht="15.5" x14ac:dyDescent="0.35"/>
    <row r="94" spans="2:10" s="135" customFormat="1" ht="46.5" x14ac:dyDescent="0.25">
      <c r="C94" s="319" t="s">
        <v>503</v>
      </c>
      <c r="D94" s="320" t="str">
        <f>"Savings ($ / year), to "&amp;'Opp Library - PT'!$B$14&amp;" digits"</f>
        <v>Savings ($ / year), to 2 digits</v>
      </c>
      <c r="E94" s="233" t="s">
        <v>500</v>
      </c>
      <c r="F94" s="233" t="s">
        <v>501</v>
      </c>
      <c r="G94" s="233" t="s">
        <v>502</v>
      </c>
    </row>
    <row r="95" spans="2:10" s="135" customFormat="1" ht="15.5" x14ac:dyDescent="0.25">
      <c r="C95" s="234" t="str">
        <f ca="1">IF('Opp Library - PT'!A35=0,"nil",'Opp Library - PT'!A35)</f>
        <v>Replace pot-style sterilisers with spray sterilisers.</v>
      </c>
      <c r="D95" s="321">
        <f ca="1">IF('Opp Library - PT'!A35=0,"",'Opp Library - PT'!B35)</f>
        <v>12000</v>
      </c>
      <c r="E95" s="322">
        <f ca="1">IF('Opp Library - PT'!A35=0,"",'Opp Library - PT'!C35)</f>
        <v>5800</v>
      </c>
      <c r="F95" s="233" t="str">
        <f ca="1">IF('Opp Library - PT'!A35=0,"",IF(AND('Opp Library - PT'!D35=0,'Opp Library - PT'!E35=0),"Immediate",'Opp Library - PT'!D35&amp;" - "&amp;'Opp Library - PT'!E35))</f>
        <v>0.4 - 0.6</v>
      </c>
      <c r="G95" s="348" t="str">
        <f ca="1">IF('Opp Library - PT'!A35=0,"",IF(LEN('Opp Library - PT'!F35)=0,"No link",HYPERLINK('Opp Library - PT'!F35,"Link")))</f>
        <v>Link</v>
      </c>
    </row>
    <row r="96" spans="2:10" s="135" customFormat="1" ht="46.5" x14ac:dyDescent="0.25">
      <c r="C96" s="234" t="str">
        <f ca="1">IF('Opp Library - PT'!A36=0,"",'Opp Library - PT'!A36)</f>
        <v>Install energy and water flow meters for major loads and monitor use via a central process control system or web based system. Extend system to provide online alarms and SMS alerts available remotely.</v>
      </c>
      <c r="D96" s="321">
        <f ca="1">IF('Opp Library - PT'!A36=0,"",'Opp Library - PT'!B36)</f>
        <v>94000</v>
      </c>
      <c r="E96" s="322">
        <f ca="1">IF('Opp Library - PT'!A36=0,"",'Opp Library - PT'!C36)</f>
        <v>190000</v>
      </c>
      <c r="F96" s="233" t="str">
        <f ca="1">IF('Opp Library - PT'!A36=0,"",IF(AND('Opp Library - PT'!D36=0,'Opp Library - PT'!E36=0),"Immediate",'Opp Library - PT'!D36&amp;" - "&amp;'Opp Library - PT'!E36))</f>
        <v>2 - 3</v>
      </c>
      <c r="G96" s="348" t="str">
        <f ca="1">IF('Opp Library - PT'!A36=0,"",IF(LEN('Opp Library - PT'!F36)=0,"No link",HYPERLINK('Opp Library - PT'!F36,"Link")))</f>
        <v>No link</v>
      </c>
    </row>
    <row r="97" spans="2:9" s="135" customFormat="1" ht="31" x14ac:dyDescent="0.25">
      <c r="C97" s="234" t="str">
        <f ca="1">IF('Opp Library - PT'!A37=0,"",'Opp Library - PT'!A37)</f>
        <v>Install storm water recovery and collection systems to reduce water used for washing cattle and potentially some process water uses.</v>
      </c>
      <c r="D97" s="321">
        <f ca="1">IF('Opp Library - PT'!A37=0,"",'Opp Library - PT'!B37)</f>
        <v>47000</v>
      </c>
      <c r="E97" s="322">
        <f ca="1">IF('Opp Library - PT'!A37=0,"",'Opp Library - PT'!C37)</f>
        <v>93000</v>
      </c>
      <c r="F97" s="233" t="str">
        <f ca="1">IF('Opp Library - PT'!A37=0,"",IF(AND('Opp Library - PT'!D37=0,'Opp Library - PT'!E37=0),"Immediate",'Opp Library - PT'!D37&amp;" - "&amp;'Opp Library - PT'!E37))</f>
        <v>2 - 3</v>
      </c>
      <c r="G97" s="348" t="str">
        <f ca="1">IF('Opp Library - PT'!A37=0,"",IF(LEN('Opp Library - PT'!F37)=0,"No link",HYPERLINK('Opp Library - PT'!F37,"Link")))</f>
        <v>Link</v>
      </c>
    </row>
    <row r="98" spans="2:9" s="135" customFormat="1" ht="108.5" x14ac:dyDescent="0.25">
      <c r="C98" s="234" t="str">
        <f ca="1">IF('Opp Library - PT'!A38=0,"",'Opp Library - PT'!A38)</f>
        <v xml:space="preserve">Intermittent flow for viscera (bleed) table wash sprays. Some types of modern viscera tables (and bleed tables) incorporate systems that turn wash sprays on only as the table moves forward. However for older style tables water sprays may run continuously. In these situations, it may be possible to install on/off controls linked to sensors or a limiting switch so that the water flows intermittently instead of continuously. (Eco-Efficiency Manual for Meat Processing - section 2.2.9, pg. 31) </v>
      </c>
      <c r="D98" s="321">
        <f ca="1">IF('Opp Library - PT'!A38=0,"",'Opp Library - PT'!B38)</f>
        <v>70000</v>
      </c>
      <c r="E98" s="322">
        <f ca="1">IF('Opp Library - PT'!A38=0,"",'Opp Library - PT'!C38)</f>
        <v>21000</v>
      </c>
      <c r="F98" s="233" t="str">
        <f ca="1">IF('Opp Library - PT'!A38=0,"",IF(AND('Opp Library - PT'!D38=0,'Opp Library - PT'!E38=0),"Immediate",'Opp Library - PT'!D38&amp;" - "&amp;'Opp Library - PT'!E38))</f>
        <v>0.2 - 0.4</v>
      </c>
      <c r="G98" s="348" t="str">
        <f ca="1">IF('Opp Library - PT'!A38=0,"",IF(LEN('Opp Library - PT'!F38)=0,"No link",HYPERLINK('Opp Library - PT'!F38,"Link")))</f>
        <v>Link</v>
      </c>
    </row>
    <row r="99" spans="2:9" s="133" customFormat="1" ht="12.75" customHeight="1" x14ac:dyDescent="0.35"/>
    <row r="100" spans="2:9" ht="12.75" customHeight="1" thickBot="1" x14ac:dyDescent="0.45">
      <c r="B100" s="5"/>
      <c r="C100" s="5"/>
      <c r="D100" s="5"/>
      <c r="E100" s="5"/>
      <c r="F100" s="5"/>
      <c r="G100" s="5"/>
      <c r="H100" s="5"/>
      <c r="I100" s="5"/>
    </row>
    <row r="101" spans="2:9" s="135" customFormat="1" ht="18" thickTop="1" x14ac:dyDescent="0.25">
      <c r="B101" s="661" t="str">
        <f>HYPERLINK("#'Inputs'!$A$1","LINK: Return to Inputs Page")</f>
        <v>LINK: Return to Inputs Page</v>
      </c>
      <c r="C101" s="661"/>
      <c r="D101" s="134"/>
      <c r="E101" s="134"/>
      <c r="F101" s="134"/>
      <c r="G101" s="537"/>
    </row>
    <row r="102" spans="2:9" ht="12.75" customHeight="1" x14ac:dyDescent="0.25"/>
  </sheetData>
  <sheetProtection selectLockedCells="1"/>
  <mergeCells count="20">
    <mergeCell ref="B2:C2"/>
    <mergeCell ref="B101:C101"/>
    <mergeCell ref="D16:E16"/>
    <mergeCell ref="D17:E17"/>
    <mergeCell ref="D18:E18"/>
    <mergeCell ref="D19:E19"/>
    <mergeCell ref="D20:E20"/>
    <mergeCell ref="D22:E22"/>
    <mergeCell ref="F23:G23"/>
    <mergeCell ref="F24:G24"/>
    <mergeCell ref="F25:G25"/>
    <mergeCell ref="D23:E23"/>
    <mergeCell ref="D24:E24"/>
    <mergeCell ref="D25:E25"/>
    <mergeCell ref="F22:G22"/>
    <mergeCell ref="F16:G16"/>
    <mergeCell ref="F17:G17"/>
    <mergeCell ref="F18:G18"/>
    <mergeCell ref="F19:G19"/>
    <mergeCell ref="F20:G20"/>
  </mergeCells>
  <conditionalFormatting sqref="F64:G64">
    <cfRule type="containsErrors" dxfId="32" priority="13">
      <formula>ISERROR(F64)</formula>
    </cfRule>
  </conditionalFormatting>
  <conditionalFormatting sqref="F80:G80">
    <cfRule type="containsErrors" dxfId="31" priority="4">
      <formula>ISERROR(F80)</formula>
    </cfRule>
  </conditionalFormatting>
  <conditionalFormatting sqref="F89:G93">
    <cfRule type="containsErrors" dxfId="30" priority="3">
      <formula>ISERROR(F89)</formula>
    </cfRule>
  </conditionalFormatting>
  <conditionalFormatting sqref="F99:G99">
    <cfRule type="containsErrors" dxfId="29" priority="2">
      <formula>ISERROR(F99)</formula>
    </cfRule>
  </conditionalFormatting>
  <conditionalFormatting sqref="C60:H63 C76:H79 C95:G98">
    <cfRule type="expression" dxfId="28" priority="1">
      <formula>LEN($C60)=0</formula>
    </cfRule>
  </conditionalFormatting>
  <hyperlinks>
    <hyperlink ref="C47" r:id="rId1" xr:uid="{76F0ADAB-6B5F-4EBC-B7AF-1FF7709D0E18}"/>
  </hyperlinks>
  <printOptions horizontalCentered="1"/>
  <pageMargins left="0.70866141732283472" right="0.70866141732283472" top="0.74803149606299213" bottom="0.74803149606299213" header="0.31496062992125984" footer="0.31496062992125984"/>
  <pageSetup paperSize="9" scale="71" fitToHeight="0" orientation="landscape" r:id="rId2"/>
  <headerFooter>
    <oddFooter>&amp;LEnergy and water benchmarking results&amp;C&amp;"Arial,Regular"&amp;8Page &amp;P of &amp;N&amp;RReport created on &amp;D</oddFooter>
  </headerFooter>
  <rowBreaks count="3" manualBreakCount="3">
    <brk id="50" max="8" man="1"/>
    <brk id="65" max="8" man="1"/>
    <brk id="81" max="8" man="1"/>
  </rowBreaks>
  <ignoredErrors>
    <ignoredError sqref="B2" unlockedFormula="1"/>
    <ignoredError sqref="H18:H19" formula="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049" r:id="rId6" name="Button 1">
              <controlPr defaultSize="0" print="0" autoFill="0" autoPict="0" macro="[0]!SavePDF">
                <anchor moveWithCells="1" sizeWithCells="1">
                  <from>
                    <xdr:col>7</xdr:col>
                    <xdr:colOff>736600</xdr:colOff>
                    <xdr:row>1</xdr:row>
                    <xdr:rowOff>19050</xdr:rowOff>
                  </from>
                  <to>
                    <xdr:col>9</xdr:col>
                    <xdr:colOff>19050</xdr:colOff>
                    <xdr:row>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dimension ref="P8:Q98"/>
  <sheetViews>
    <sheetView workbookViewId="0"/>
  </sheetViews>
  <sheetFormatPr defaultColWidth="9.1796875" defaultRowHeight="12.5" x14ac:dyDescent="0.25"/>
  <cols>
    <col min="1" max="16384" width="9.1796875" style="138"/>
  </cols>
  <sheetData>
    <row r="8" spans="16:16" x14ac:dyDescent="0.25">
      <c r="P8" s="118"/>
    </row>
    <row r="9" spans="16:16" x14ac:dyDescent="0.25">
      <c r="P9" s="10"/>
    </row>
    <row r="15" spans="16:16" x14ac:dyDescent="0.25">
      <c r="P15" s="203"/>
    </row>
    <row r="25" spans="17:17" x14ac:dyDescent="0.25">
      <c r="Q25" s="217" t="str">
        <f>HYPERLINK("#"&amp;ADDRESS(ROW(Calculations!B11),COLUMN(Calculations!B11),1,1,"Calculations"),"LINK")</f>
        <v>LINK</v>
      </c>
    </row>
    <row r="29" spans="17:17" x14ac:dyDescent="0.25">
      <c r="Q29" s="138" t="s">
        <v>510</v>
      </c>
    </row>
    <row r="30" spans="17:17" x14ac:dyDescent="0.25">
      <c r="Q30" s="138" t="s">
        <v>509</v>
      </c>
    </row>
    <row r="31" spans="17:17" x14ac:dyDescent="0.25">
      <c r="Q31" s="138" t="s">
        <v>511</v>
      </c>
    </row>
    <row r="32" spans="17:17" x14ac:dyDescent="0.25">
      <c r="Q32" s="138" t="s">
        <v>512</v>
      </c>
    </row>
    <row r="38" spans="17:17" s="253" customFormat="1" x14ac:dyDescent="0.25"/>
    <row r="39" spans="17:17" x14ac:dyDescent="0.25">
      <c r="Q39" s="217" t="str">
        <f>HYPERLINK("#"&amp;ADDRESS(ROW(Calculations!B69),COLUMN(Calculations!B69),1,1,"Calculations"),"LINK")</f>
        <v>LINK</v>
      </c>
    </row>
    <row r="42" spans="17:17" s="148" customFormat="1" x14ac:dyDescent="0.25"/>
    <row r="43" spans="17:17" s="148" customFormat="1" x14ac:dyDescent="0.25"/>
    <row r="44" spans="17:17" s="148" customFormat="1" x14ac:dyDescent="0.25"/>
    <row r="45" spans="17:17" s="148" customFormat="1" x14ac:dyDescent="0.25">
      <c r="Q45" s="217" t="str">
        <f>HYPERLINK("#"&amp;ADDRESS(ROW(Calculations!B129),COLUMN(Calculations!B129),1,1,"Calculations"),"LINK")</f>
        <v>LINK</v>
      </c>
    </row>
    <row r="46" spans="17:17" s="148" customFormat="1" x14ac:dyDescent="0.25"/>
    <row r="47" spans="17:17" s="148" customFormat="1" x14ac:dyDescent="0.25"/>
    <row r="48" spans="17:17" s="148" customFormat="1" x14ac:dyDescent="0.25"/>
    <row r="52" spans="17:17" x14ac:dyDescent="0.25">
      <c r="Q52" s="217" t="str">
        <f>HYPERLINK("#"&amp;ADDRESS(ROW(Calculations!B173),COLUMN(Calculations!B173),1,1,"Calculations"),"LINK")</f>
        <v>LINK</v>
      </c>
    </row>
    <row r="58" spans="17:17" x14ac:dyDescent="0.25">
      <c r="Q58" s="138" t="s">
        <v>510</v>
      </c>
    </row>
    <row r="59" spans="17:17" x14ac:dyDescent="0.25">
      <c r="Q59" s="138" t="s">
        <v>515</v>
      </c>
    </row>
    <row r="60" spans="17:17" x14ac:dyDescent="0.25">
      <c r="Q60" s="138" t="s">
        <v>516</v>
      </c>
    </row>
    <row r="66" spans="17:17" x14ac:dyDescent="0.25">
      <c r="Q66" s="217" t="str">
        <f>HYPERLINK("#"&amp;ADDRESS(ROW('Performance Pyramid'!B1),COLUMN('Performance Pyramid'!B1),1,1,"Performance Pyramid"),"LINK")</f>
        <v>LINK</v>
      </c>
    </row>
    <row r="82" spans="17:17" x14ac:dyDescent="0.25">
      <c r="Q82" s="217" t="str">
        <f>HYPERLINK("#"&amp;ADDRESS(ROW('Opportunity Library'!B2),COLUMN('Opportunity Library'!B2),1,1,"Opportunity Library"),"LINK")</f>
        <v>LINK</v>
      </c>
    </row>
    <row r="90" spans="17:17" x14ac:dyDescent="0.25">
      <c r="Q90" s="217" t="str">
        <f>HYPERLINK("#"&amp;ADDRESS(ROW('Opp Library - PT'!A2),COLUMN('Opp Library - PT'!A2),1,1,"Opp Library - PT"),"LINK")</f>
        <v>LINK</v>
      </c>
    </row>
    <row r="98" spans="17:17" x14ac:dyDescent="0.25">
      <c r="Q98" s="217" t="str">
        <f>HYPERLINK("#"&amp;ADDRESS(ROW(Output!B27),COLUMN(Output!B27),1,1,"Output"),"LINK")</f>
        <v>LINK</v>
      </c>
    </row>
  </sheetData>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9"/>
  <dimension ref="G8:U98"/>
  <sheetViews>
    <sheetView workbookViewId="0"/>
  </sheetViews>
  <sheetFormatPr defaultColWidth="9.1796875" defaultRowHeight="12.5" x14ac:dyDescent="0.25"/>
  <cols>
    <col min="1" max="16384" width="9.1796875" style="253"/>
  </cols>
  <sheetData>
    <row r="8" spans="11:11" x14ac:dyDescent="0.25">
      <c r="K8" s="118"/>
    </row>
    <row r="9" spans="11:11" x14ac:dyDescent="0.25">
      <c r="K9" s="10"/>
    </row>
    <row r="25" spans="7:7" x14ac:dyDescent="0.25">
      <c r="G25" s="217"/>
    </row>
    <row r="39" spans="7:7" x14ac:dyDescent="0.25">
      <c r="G39" s="217"/>
    </row>
    <row r="45" spans="7:7" x14ac:dyDescent="0.25">
      <c r="G45" s="217"/>
    </row>
    <row r="52" spans="8:21" x14ac:dyDescent="0.25">
      <c r="H52" s="217"/>
    </row>
    <row r="58" spans="8:21" x14ac:dyDescent="0.25">
      <c r="U58" s="253" t="s">
        <v>510</v>
      </c>
    </row>
    <row r="59" spans="8:21" x14ac:dyDescent="0.25">
      <c r="U59" s="253" t="s">
        <v>515</v>
      </c>
    </row>
    <row r="60" spans="8:21" x14ac:dyDescent="0.25">
      <c r="U60" s="253" t="s">
        <v>516</v>
      </c>
    </row>
    <row r="66" spans="21:21" x14ac:dyDescent="0.25">
      <c r="U66" s="217" t="str">
        <f>HYPERLINK("#"&amp;ADDRESS(ROW('Performance Pyramid'!B1),COLUMN('Performance Pyramid'!B1),1,1,"Performance Pyramid"),"LINK")</f>
        <v>LINK</v>
      </c>
    </row>
    <row r="82" spans="21:21" x14ac:dyDescent="0.25">
      <c r="U82" s="217" t="str">
        <f>HYPERLINK("#"&amp;ADDRESS(ROW('Opportunity Library'!B2),COLUMN('Opportunity Library'!B2),1,1,"Opportunity Library"),"LINK")</f>
        <v>LINK</v>
      </c>
    </row>
    <row r="90" spans="21:21" x14ac:dyDescent="0.25">
      <c r="U90" s="217" t="str">
        <f>HYPERLINK("#"&amp;ADDRESS(ROW('Opp Library - PT'!A2),COLUMN('Opp Library - PT'!A2),1,1,"Opp Library - PT"),"LINK")</f>
        <v>LINK</v>
      </c>
    </row>
    <row r="98" spans="21:21" x14ac:dyDescent="0.25">
      <c r="U98" s="217" t="str">
        <f>HYPERLINK("#"&amp;ADDRESS(ROW(Output!B27),COLUMN(Output!B27),1,1,"Output"),"LINK")</f>
        <v>LINK</v>
      </c>
    </row>
  </sheetData>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2:R232"/>
  <sheetViews>
    <sheetView topLeftCell="A15" workbookViewId="0">
      <selection activeCell="L25" sqref="L25"/>
    </sheetView>
  </sheetViews>
  <sheetFormatPr defaultColWidth="9.1796875" defaultRowHeight="12.5" x14ac:dyDescent="0.25"/>
  <cols>
    <col min="1" max="1" width="9.1796875" style="4"/>
    <col min="2" max="2" width="37.81640625" style="4" customWidth="1"/>
    <col min="3" max="3" width="12.81640625" style="4" customWidth="1"/>
    <col min="4" max="4" width="14" style="4" bestFit="1" customWidth="1"/>
    <col min="5" max="5" width="10.26953125" style="4" bestFit="1" customWidth="1"/>
    <col min="6" max="6" width="20.1796875" style="4" customWidth="1"/>
    <col min="7" max="7" width="21.81640625" style="4" customWidth="1"/>
    <col min="8" max="9" width="9.26953125" style="4" bestFit="1" customWidth="1"/>
    <col min="10" max="10" width="10" style="4" customWidth="1"/>
    <col min="11" max="11" width="9.26953125" style="4" bestFit="1" customWidth="1"/>
    <col min="12" max="12" width="18.1796875" style="4" customWidth="1"/>
    <col min="13" max="13" width="9.1796875" style="4"/>
    <col min="14" max="14" width="18.54296875" style="4" customWidth="1"/>
    <col min="15" max="16" width="9.1796875" style="4"/>
    <col min="17" max="17" width="14.453125" style="4" bestFit="1" customWidth="1"/>
    <col min="18" max="18" width="13.453125" style="4" customWidth="1"/>
    <col min="19" max="16384" width="9.1796875" style="4"/>
  </cols>
  <sheetData>
    <row r="2" spans="2:6" x14ac:dyDescent="0.25">
      <c r="C2" s="3" t="s">
        <v>507</v>
      </c>
      <c r="D2" s="3"/>
      <c r="E2" s="3"/>
      <c r="F2" s="3"/>
    </row>
    <row r="3" spans="2:6" x14ac:dyDescent="0.25">
      <c r="C3" s="16" t="s">
        <v>530</v>
      </c>
      <c r="D3" s="16"/>
      <c r="E3" s="16"/>
      <c r="F3" s="16"/>
    </row>
    <row r="4" spans="2:6" x14ac:dyDescent="0.25">
      <c r="C4" s="17" t="s">
        <v>531</v>
      </c>
      <c r="D4" s="17"/>
      <c r="E4" s="17"/>
      <c r="F4" s="17"/>
    </row>
    <row r="5" spans="2:6" s="203" customFormat="1" ht="13" x14ac:dyDescent="0.3">
      <c r="C5" s="177" t="s">
        <v>513</v>
      </c>
    </row>
    <row r="6" spans="2:6" s="203" customFormat="1" ht="19.5" thickBot="1" x14ac:dyDescent="0.45">
      <c r="C6" s="5" t="s">
        <v>514</v>
      </c>
    </row>
    <row r="7" spans="2:6" s="203" customFormat="1" ht="13" thickTop="1" x14ac:dyDescent="0.25"/>
    <row r="8" spans="2:6" s="203" customFormat="1" x14ac:dyDescent="0.25"/>
    <row r="11" spans="2:6" ht="19.5" thickBot="1" x14ac:dyDescent="0.45">
      <c r="B11" s="5" t="s">
        <v>386</v>
      </c>
    </row>
    <row r="12" spans="2:6" ht="13" thickTop="1" x14ac:dyDescent="0.25"/>
    <row r="13" spans="2:6" x14ac:dyDescent="0.25">
      <c r="B13" s="4" t="s">
        <v>86</v>
      </c>
    </row>
    <row r="15" spans="2:6" x14ac:dyDescent="0.25">
      <c r="B15" s="203" t="s">
        <v>336</v>
      </c>
    </row>
    <row r="16" spans="2:6" s="137" customFormat="1" x14ac:dyDescent="0.25">
      <c r="B16" s="203" t="s">
        <v>376</v>
      </c>
    </row>
    <row r="17" spans="1:18" x14ac:dyDescent="0.25">
      <c r="B17" s="203" t="s">
        <v>377</v>
      </c>
    </row>
    <row r="20" spans="1:18" ht="13" x14ac:dyDescent="0.3">
      <c r="A20" s="177" t="str">
        <f>B15</f>
        <v>1) Convert consumption and cost values to SI units</v>
      </c>
    </row>
    <row r="21" spans="1:18" x14ac:dyDescent="0.25">
      <c r="Q21" s="253"/>
    </row>
    <row r="22" spans="1:18" s="253" customFormat="1" x14ac:dyDescent="0.25">
      <c r="B22" s="326" t="s">
        <v>876</v>
      </c>
      <c r="C22" s="326" t="str">
        <f>Inputs!D52</f>
        <v>Gas engine (with heat recovery)</v>
      </c>
    </row>
    <row r="23" spans="1:18" s="253" customFormat="1" x14ac:dyDescent="0.25">
      <c r="B23" s="14" t="str">
        <f>Inputs!C55</f>
        <v>Natural gas</v>
      </c>
      <c r="C23" s="456">
        <f>Inputs!G55</f>
        <v>0</v>
      </c>
      <c r="D23" s="14">
        <f>IF($C$22='Drop-downs'!$AB$18,0,Inputs!D55)</f>
        <v>150000</v>
      </c>
      <c r="E23" s="14" t="str">
        <f>Inputs!E55</f>
        <v>GJ</v>
      </c>
      <c r="F23" s="291" t="s">
        <v>75</v>
      </c>
      <c r="G23" s="291">
        <f>INDEX($G$30:$G$45,MATCH(B23,$B$30:$B$45,0))</f>
        <v>1</v>
      </c>
      <c r="H23" s="291"/>
      <c r="I23" s="291">
        <f>D23*$G23</f>
        <v>150000</v>
      </c>
      <c r="J23" s="291" t="str">
        <f t="shared" ref="J23" si="0">F23</f>
        <v>GJ</v>
      </c>
      <c r="K23" s="236">
        <f>Inputs!I55</f>
        <v>0</v>
      </c>
      <c r="L23" s="236">
        <f>Inputs!J55</f>
        <v>8</v>
      </c>
      <c r="M23" s="236">
        <f>Inputs!K55</f>
        <v>8</v>
      </c>
      <c r="N23" s="14" t="str">
        <f>Inputs!E55</f>
        <v>GJ</v>
      </c>
      <c r="O23" s="7">
        <f>L23/$G23</f>
        <v>8</v>
      </c>
      <c r="P23" s="7">
        <f>M23/$G23</f>
        <v>8</v>
      </c>
      <c r="Q23" s="220">
        <f t="shared" ref="Q23:Q24" si="1">O23*I23</f>
        <v>1200000</v>
      </c>
      <c r="R23" s="220">
        <f t="shared" ref="R23:R24" si="2">P23*I23</f>
        <v>1200000</v>
      </c>
    </row>
    <row r="24" spans="1:18" s="253" customFormat="1" x14ac:dyDescent="0.25">
      <c r="B24" s="14" t="str">
        <f>IF(Inputs!C56="Biogas",B39,Inputs!C56)</f>
        <v>Biogas - used in process</v>
      </c>
      <c r="C24" s="456">
        <f>Inputs!G56</f>
        <v>0</v>
      </c>
      <c r="D24" s="14">
        <f>IF($C$22='Drop-downs'!$AB$18,0,Inputs!D56)</f>
        <v>50000</v>
      </c>
      <c r="E24" s="14" t="str">
        <f>Inputs!E56</f>
        <v>GJ</v>
      </c>
      <c r="F24" s="291" t="s">
        <v>75</v>
      </c>
      <c r="G24" s="291">
        <f>INDEX($G$30:$G$45,MATCH(B24,$B$30:$B$45,0))</f>
        <v>1</v>
      </c>
      <c r="H24" s="326"/>
      <c r="I24" s="291">
        <f>D24*$G24</f>
        <v>50000</v>
      </c>
      <c r="J24" s="291" t="str">
        <f t="shared" ref="J24" si="3">F24</f>
        <v>GJ</v>
      </c>
      <c r="K24" s="236">
        <f>Inputs!I56</f>
        <v>0</v>
      </c>
      <c r="L24" s="236">
        <f>Inputs!J56</f>
        <v>3</v>
      </c>
      <c r="M24" s="236">
        <f>Inputs!K56</f>
        <v>3</v>
      </c>
      <c r="N24" s="14" t="str">
        <f>Inputs!E56</f>
        <v>GJ</v>
      </c>
      <c r="O24" s="7">
        <f>L24/$G24</f>
        <v>3</v>
      </c>
      <c r="P24" s="7">
        <f>M24/$G24</f>
        <v>3</v>
      </c>
      <c r="Q24" s="220">
        <f t="shared" si="1"/>
        <v>150000</v>
      </c>
      <c r="R24" s="220">
        <f t="shared" si="2"/>
        <v>150000</v>
      </c>
    </row>
    <row r="25" spans="1:18" s="253" customFormat="1" x14ac:dyDescent="0.25">
      <c r="B25" s="326" t="s">
        <v>877</v>
      </c>
      <c r="C25" s="456">
        <f>Inputs!G57</f>
        <v>0</v>
      </c>
      <c r="D25" s="14">
        <f>IF($C$22='Drop-downs'!$AB$18,0,Inputs!D57)</f>
        <v>10000000</v>
      </c>
      <c r="E25" s="14" t="str">
        <f>Inputs!E57</f>
        <v>kWh</v>
      </c>
      <c r="F25" s="291" t="s">
        <v>74</v>
      </c>
      <c r="G25" s="291">
        <v>1</v>
      </c>
      <c r="H25" s="291"/>
      <c r="I25" s="291">
        <f>D25*$G25</f>
        <v>10000000</v>
      </c>
      <c r="J25" s="291" t="s">
        <v>74</v>
      </c>
      <c r="K25" s="236">
        <f>Inputs!I57</f>
        <v>0</v>
      </c>
      <c r="L25" s="236">
        <f>Inputs!J57</f>
        <v>0</v>
      </c>
      <c r="M25" s="236">
        <f>Inputs!K57</f>
        <v>0</v>
      </c>
      <c r="N25" s="14" t="str">
        <f>Inputs!E57</f>
        <v>kWh</v>
      </c>
    </row>
    <row r="26" spans="1:18" s="253" customFormat="1" x14ac:dyDescent="0.25">
      <c r="F26" s="494"/>
      <c r="G26" s="494"/>
      <c r="H26" s="494"/>
      <c r="I26" s="494"/>
      <c r="J26" s="494"/>
      <c r="O26" s="495"/>
      <c r="P26" s="495"/>
    </row>
    <row r="27" spans="1:18" s="253" customFormat="1" x14ac:dyDescent="0.25">
      <c r="B27" s="326" t="s">
        <v>880</v>
      </c>
      <c r="C27" s="220">
        <f>IF(C23=0,0,C23*D27/D23)</f>
        <v>0</v>
      </c>
      <c r="D27" s="497">
        <f>I23+I24-D25*NGERFactors!G151</f>
        <v>164000</v>
      </c>
      <c r="E27" s="291" t="s">
        <v>75</v>
      </c>
      <c r="F27" s="291" t="s">
        <v>75</v>
      </c>
      <c r="G27" s="291">
        <v>1</v>
      </c>
      <c r="H27" s="291"/>
      <c r="I27" s="291">
        <f>D27*$G27</f>
        <v>164000</v>
      </c>
      <c r="J27" s="291" t="str">
        <f t="shared" ref="J27" si="4">F27</f>
        <v>GJ</v>
      </c>
      <c r="K27" s="502">
        <f>K23</f>
        <v>0</v>
      </c>
      <c r="L27" s="502">
        <f t="shared" ref="L27:N27" si="5">L23</f>
        <v>8</v>
      </c>
      <c r="M27" s="502">
        <f t="shared" si="5"/>
        <v>8</v>
      </c>
      <c r="N27" s="291" t="str">
        <f t="shared" si="5"/>
        <v>GJ</v>
      </c>
    </row>
    <row r="28" spans="1:18" s="253" customFormat="1" x14ac:dyDescent="0.25"/>
    <row r="29" spans="1:18" s="18" customFormat="1" ht="55.5" customHeight="1" x14ac:dyDescent="0.25">
      <c r="B29" s="201" t="s">
        <v>506</v>
      </c>
      <c r="C29" s="309" t="s">
        <v>760</v>
      </c>
      <c r="D29" s="235" t="s">
        <v>761</v>
      </c>
      <c r="E29" s="201" t="s">
        <v>333</v>
      </c>
      <c r="F29" s="201" t="s">
        <v>334</v>
      </c>
      <c r="G29" s="201" t="s">
        <v>103</v>
      </c>
      <c r="H29" s="201" t="s">
        <v>339</v>
      </c>
      <c r="I29" s="201" t="s">
        <v>762</v>
      </c>
      <c r="J29" s="201" t="s">
        <v>335</v>
      </c>
      <c r="K29" s="457" t="s">
        <v>379</v>
      </c>
      <c r="L29" s="457" t="s">
        <v>602</v>
      </c>
      <c r="M29" s="201" t="s">
        <v>601</v>
      </c>
      <c r="N29" s="457" t="s">
        <v>333</v>
      </c>
      <c r="O29" s="457" t="s">
        <v>763</v>
      </c>
      <c r="P29" s="201" t="s">
        <v>764</v>
      </c>
      <c r="Q29" s="492" t="s">
        <v>878</v>
      </c>
      <c r="R29" s="492" t="s">
        <v>879</v>
      </c>
    </row>
    <row r="30" spans="1:18" x14ac:dyDescent="0.25">
      <c r="B30" s="14" t="str">
        <f>Inputs!C63</f>
        <v>Natural gas</v>
      </c>
      <c r="C30" s="456">
        <f>Inputs!G63</f>
        <v>0</v>
      </c>
      <c r="D30" s="14">
        <f>Inputs!D63</f>
        <v>31000</v>
      </c>
      <c r="E30" s="14" t="str">
        <f>Inputs!E63</f>
        <v>GJ</v>
      </c>
      <c r="F30" s="291" t="s">
        <v>75</v>
      </c>
      <c r="G30" s="200">
        <v>1</v>
      </c>
      <c r="H30" s="200"/>
      <c r="I30" s="200">
        <f t="shared" ref="I30:I45" si="6">D30*$G30</f>
        <v>31000</v>
      </c>
      <c r="J30" s="200" t="str">
        <f t="shared" ref="J30:J45" si="7">F30</f>
        <v>GJ</v>
      </c>
      <c r="K30" s="236">
        <f>Inputs!I63</f>
        <v>0</v>
      </c>
      <c r="L30" s="236">
        <f>Inputs!J63</f>
        <v>8</v>
      </c>
      <c r="M30" s="236">
        <f>Inputs!K63</f>
        <v>8</v>
      </c>
      <c r="N30" s="14" t="str">
        <f>Inputs!E63</f>
        <v>GJ</v>
      </c>
      <c r="O30" s="7">
        <f>IF($G30=0,0,L30/$G30)</f>
        <v>8</v>
      </c>
      <c r="P30" s="7">
        <f>IF($G30=0,0,M30/$G30)</f>
        <v>8</v>
      </c>
      <c r="Q30" s="220">
        <f>O30*I30</f>
        <v>248000</v>
      </c>
      <c r="R30" s="220">
        <f>P30*I30</f>
        <v>248000</v>
      </c>
    </row>
    <row r="31" spans="1:18" s="253" customFormat="1" x14ac:dyDescent="0.25">
      <c r="B31" s="14" t="str">
        <f>Inputs!C64</f>
        <v>Coal</v>
      </c>
      <c r="C31" s="456">
        <f>Inputs!G64</f>
        <v>0</v>
      </c>
      <c r="D31" s="14">
        <f>Inputs!D64</f>
        <v>0</v>
      </c>
      <c r="E31" s="14" t="str">
        <f>Inputs!E64</f>
        <v>tonnes</v>
      </c>
      <c r="F31" s="291" t="s">
        <v>75</v>
      </c>
      <c r="G31" s="14">
        <f>NGERFactors!$F$22</f>
        <v>27</v>
      </c>
      <c r="H31" s="291" t="s">
        <v>347</v>
      </c>
      <c r="I31" s="291">
        <f t="shared" si="6"/>
        <v>0</v>
      </c>
      <c r="J31" s="291" t="str">
        <f t="shared" si="7"/>
        <v>GJ</v>
      </c>
      <c r="K31" s="236">
        <f>Inputs!I64</f>
        <v>0</v>
      </c>
      <c r="L31" s="236">
        <f>Inputs!J64</f>
        <v>120</v>
      </c>
      <c r="M31" s="236">
        <f>Inputs!K64</f>
        <v>120</v>
      </c>
      <c r="N31" s="14" t="str">
        <f>Inputs!E64</f>
        <v>tonnes</v>
      </c>
      <c r="O31" s="7">
        <f t="shared" ref="O31:O45" si="8">IF($G31=0,0,L31/$G31)</f>
        <v>4.4444444444444446</v>
      </c>
      <c r="P31" s="7">
        <f t="shared" ref="P31:P45" si="9">IF($G31=0,0,M31/$G31)</f>
        <v>4.4444444444444446</v>
      </c>
      <c r="Q31" s="220">
        <f t="shared" ref="Q31:Q45" si="10">O31*I31</f>
        <v>0</v>
      </c>
      <c r="R31" s="220">
        <f t="shared" ref="R31:R45" si="11">P31*I31</f>
        <v>0</v>
      </c>
    </row>
    <row r="32" spans="1:18" x14ac:dyDescent="0.25">
      <c r="B32" s="14" t="str">
        <f>Inputs!C65</f>
        <v>LPG</v>
      </c>
      <c r="C32" s="456">
        <f>Inputs!G65</f>
        <v>0</v>
      </c>
      <c r="D32" s="14">
        <f>Inputs!D65</f>
        <v>0</v>
      </c>
      <c r="E32" s="14" t="str">
        <f>Inputs!E65</f>
        <v>litres</v>
      </c>
      <c r="F32" s="200" t="s">
        <v>75</v>
      </c>
      <c r="G32" s="14">
        <f>NGERFactors!$G$86/1000</f>
        <v>2.5700000000000001E-2</v>
      </c>
      <c r="H32" s="291" t="s">
        <v>316</v>
      </c>
      <c r="I32" s="291">
        <f t="shared" si="6"/>
        <v>0</v>
      </c>
      <c r="J32" s="200" t="str">
        <f t="shared" si="7"/>
        <v>GJ</v>
      </c>
      <c r="K32" s="236">
        <f>Inputs!I65</f>
        <v>0</v>
      </c>
      <c r="L32" s="236">
        <f>Inputs!J65</f>
        <v>0.7</v>
      </c>
      <c r="M32" s="236">
        <f>Inputs!K65</f>
        <v>0.7</v>
      </c>
      <c r="N32" s="14" t="str">
        <f>Inputs!E65</f>
        <v>litres</v>
      </c>
      <c r="O32" s="7">
        <f t="shared" si="8"/>
        <v>27.237354085603112</v>
      </c>
      <c r="P32" s="7">
        <f t="shared" si="9"/>
        <v>27.237354085603112</v>
      </c>
      <c r="Q32" s="220">
        <f t="shared" si="10"/>
        <v>0</v>
      </c>
      <c r="R32" s="220">
        <f t="shared" si="11"/>
        <v>0</v>
      </c>
    </row>
    <row r="33" spans="1:18" x14ac:dyDescent="0.25">
      <c r="B33" s="14" t="str">
        <f>Inputs!C66</f>
        <v>Tallow</v>
      </c>
      <c r="C33" s="456">
        <f>Inputs!G66</f>
        <v>0</v>
      </c>
      <c r="D33" s="14">
        <f>Inputs!D66</f>
        <v>0</v>
      </c>
      <c r="E33" s="14" t="str">
        <f>Inputs!E66</f>
        <v>tonnes</v>
      </c>
      <c r="F33" s="200" t="s">
        <v>75</v>
      </c>
      <c r="G33" s="14">
        <f>NGERFactors!$G$8</f>
        <v>38.85</v>
      </c>
      <c r="H33" s="291" t="s">
        <v>347</v>
      </c>
      <c r="I33" s="291">
        <f t="shared" si="6"/>
        <v>0</v>
      </c>
      <c r="J33" s="200" t="str">
        <f t="shared" si="7"/>
        <v>GJ</v>
      </c>
      <c r="K33" s="236">
        <f>Inputs!I66</f>
        <v>0</v>
      </c>
      <c r="L33" s="236">
        <f>Inputs!J66</f>
        <v>800</v>
      </c>
      <c r="M33" s="236">
        <f>Inputs!K66</f>
        <v>800</v>
      </c>
      <c r="N33" s="14" t="str">
        <f>Inputs!E66</f>
        <v>tonnes</v>
      </c>
      <c r="O33" s="7">
        <f t="shared" si="8"/>
        <v>20.592020592020592</v>
      </c>
      <c r="P33" s="7">
        <f t="shared" si="9"/>
        <v>20.592020592020592</v>
      </c>
      <c r="Q33" s="220">
        <f t="shared" si="10"/>
        <v>0</v>
      </c>
      <c r="R33" s="220">
        <f t="shared" si="11"/>
        <v>0</v>
      </c>
    </row>
    <row r="34" spans="1:18" x14ac:dyDescent="0.25">
      <c r="B34" s="14" t="str">
        <f>Inputs!C67</f>
        <v>Fuel Oil</v>
      </c>
      <c r="C34" s="456">
        <f>Inputs!G67</f>
        <v>0</v>
      </c>
      <c r="D34" s="14">
        <f>Inputs!D67</f>
        <v>0</v>
      </c>
      <c r="E34" s="14" t="str">
        <f>Inputs!E67</f>
        <v>litres</v>
      </c>
      <c r="F34" s="200" t="s">
        <v>75</v>
      </c>
      <c r="G34" s="14">
        <f>NGERFactors!$G$83/1000</f>
        <v>3.9700000000000006E-2</v>
      </c>
      <c r="H34" s="200" t="s">
        <v>316</v>
      </c>
      <c r="I34" s="291">
        <f t="shared" si="6"/>
        <v>0</v>
      </c>
      <c r="J34" s="200" t="str">
        <f t="shared" si="7"/>
        <v>GJ</v>
      </c>
      <c r="K34" s="236">
        <f>Inputs!I67</f>
        <v>0</v>
      </c>
      <c r="L34" s="236">
        <f>Inputs!J67</f>
        <v>1.5</v>
      </c>
      <c r="M34" s="236">
        <f>Inputs!K67</f>
        <v>1.5</v>
      </c>
      <c r="N34" s="14" t="str">
        <f>Inputs!E67</f>
        <v>litres</v>
      </c>
      <c r="O34" s="7">
        <f t="shared" si="8"/>
        <v>37.783375314861452</v>
      </c>
      <c r="P34" s="7">
        <f t="shared" si="9"/>
        <v>37.783375314861452</v>
      </c>
      <c r="Q34" s="220">
        <f t="shared" si="10"/>
        <v>0</v>
      </c>
      <c r="R34" s="220">
        <f t="shared" si="11"/>
        <v>0</v>
      </c>
    </row>
    <row r="35" spans="1:18" s="253" customFormat="1" x14ac:dyDescent="0.25">
      <c r="B35" s="14" t="str">
        <f>Inputs!C68</f>
        <v>Diesel</v>
      </c>
      <c r="C35" s="456">
        <f>Inputs!G68</f>
        <v>0</v>
      </c>
      <c r="D35" s="14">
        <f>Inputs!D68</f>
        <v>0</v>
      </c>
      <c r="E35" s="14" t="str">
        <f>Inputs!E68</f>
        <v>litres</v>
      </c>
      <c r="F35" s="291" t="s">
        <v>75</v>
      </c>
      <c r="G35" s="359">
        <f>NGERFactors!G127/1000</f>
        <v>3.8600000000000002E-2</v>
      </c>
      <c r="H35" s="291" t="s">
        <v>316</v>
      </c>
      <c r="I35" s="291">
        <f t="shared" si="6"/>
        <v>0</v>
      </c>
      <c r="J35" s="291" t="str">
        <f t="shared" si="7"/>
        <v>GJ</v>
      </c>
      <c r="K35" s="236">
        <f>Inputs!I68</f>
        <v>0</v>
      </c>
      <c r="L35" s="236">
        <f>Inputs!J68</f>
        <v>1.2</v>
      </c>
      <c r="M35" s="236">
        <f>Inputs!K68</f>
        <v>1.2</v>
      </c>
      <c r="N35" s="14" t="str">
        <f>Inputs!E68</f>
        <v>litres</v>
      </c>
      <c r="O35" s="7">
        <f t="shared" ref="O35:O36" si="12">IF($G35=0,0,L35/$G35)</f>
        <v>31.088082901554401</v>
      </c>
      <c r="P35" s="7">
        <f t="shared" ref="P35:P36" si="13">IF($G35=0,0,M35/$G35)</f>
        <v>31.088082901554401</v>
      </c>
      <c r="Q35" s="220">
        <f t="shared" ref="Q35:Q36" si="14">O35*I35</f>
        <v>0</v>
      </c>
      <c r="R35" s="220">
        <f t="shared" ref="R35:R36" si="15">P35*I35</f>
        <v>0</v>
      </c>
    </row>
    <row r="36" spans="1:18" s="253" customFormat="1" x14ac:dyDescent="0.25">
      <c r="B36" s="14" t="str">
        <f>Inputs!C69</f>
        <v>Petrol (ULP)</v>
      </c>
      <c r="C36" s="456">
        <f>Inputs!G69</f>
        <v>0</v>
      </c>
      <c r="D36" s="14">
        <f>Inputs!D69</f>
        <v>0</v>
      </c>
      <c r="E36" s="14" t="str">
        <f>Inputs!E69</f>
        <v>litres</v>
      </c>
      <c r="F36" s="291" t="s">
        <v>75</v>
      </c>
      <c r="G36" s="359">
        <f>NGERFactors!G122/1000</f>
        <v>3.4200000000000001E-2</v>
      </c>
      <c r="H36" s="291" t="s">
        <v>316</v>
      </c>
      <c r="I36" s="291">
        <f t="shared" si="6"/>
        <v>0</v>
      </c>
      <c r="J36" s="291" t="str">
        <f t="shared" si="7"/>
        <v>GJ</v>
      </c>
      <c r="K36" s="236">
        <f>Inputs!I69</f>
        <v>0</v>
      </c>
      <c r="L36" s="236">
        <f>Inputs!J69</f>
        <v>1.5</v>
      </c>
      <c r="M36" s="236">
        <f>Inputs!K69</f>
        <v>1.5</v>
      </c>
      <c r="N36" s="14" t="str">
        <f>Inputs!E69</f>
        <v>litres</v>
      </c>
      <c r="O36" s="7">
        <f t="shared" si="12"/>
        <v>43.859649122807014</v>
      </c>
      <c r="P36" s="7">
        <f t="shared" si="13"/>
        <v>43.859649122807014</v>
      </c>
      <c r="Q36" s="220">
        <f t="shared" si="14"/>
        <v>0</v>
      </c>
      <c r="R36" s="220">
        <f t="shared" si="15"/>
        <v>0</v>
      </c>
    </row>
    <row r="37" spans="1:18" s="253" customFormat="1" x14ac:dyDescent="0.25">
      <c r="B37" s="14" t="str">
        <f>Inputs!C70</f>
        <v>Sawdust, 50%MC</v>
      </c>
      <c r="C37" s="456">
        <f>Inputs!G70</f>
        <v>0</v>
      </c>
      <c r="D37" s="14">
        <f>Inputs!D70</f>
        <v>0</v>
      </c>
      <c r="E37" s="14" t="str">
        <f>Inputs!E70</f>
        <v>tonnes</v>
      </c>
      <c r="F37" s="291" t="s">
        <v>75</v>
      </c>
      <c r="G37" s="14">
        <f>IF(Inputs!$D$73="N/A",0,Inputs!$D$73)</f>
        <v>8</v>
      </c>
      <c r="H37" s="291" t="s">
        <v>347</v>
      </c>
      <c r="I37" s="291">
        <f t="shared" ref="I37" si="16">D37*$G37</f>
        <v>0</v>
      </c>
      <c r="J37" s="291" t="str">
        <f t="shared" ref="J37" si="17">F37</f>
        <v>GJ</v>
      </c>
      <c r="K37" s="236">
        <f>Inputs!I70</f>
        <v>0</v>
      </c>
      <c r="L37" s="236">
        <f>Inputs!J70</f>
        <v>50</v>
      </c>
      <c r="M37" s="236">
        <f>Inputs!K70</f>
        <v>50</v>
      </c>
      <c r="N37" s="14" t="str">
        <f>Inputs!E70</f>
        <v>tonnes</v>
      </c>
      <c r="O37" s="7">
        <f t="shared" si="8"/>
        <v>6.25</v>
      </c>
      <c r="P37" s="7">
        <f t="shared" si="9"/>
        <v>6.25</v>
      </c>
      <c r="Q37" s="220">
        <f t="shared" si="10"/>
        <v>0</v>
      </c>
      <c r="R37" s="220">
        <f t="shared" si="11"/>
        <v>0</v>
      </c>
    </row>
    <row r="38" spans="1:18" s="253" customFormat="1" x14ac:dyDescent="0.25">
      <c r="B38" s="14" t="str">
        <f>Inputs!C74</f>
        <v>Biogas - flared</v>
      </c>
      <c r="C38" s="456">
        <f>Inputs!G74</f>
        <v>0</v>
      </c>
      <c r="D38" s="14">
        <f>Inputs!D74</f>
        <v>0</v>
      </c>
      <c r="E38" s="14" t="str">
        <f>Inputs!E74</f>
        <v>GJ</v>
      </c>
      <c r="F38" s="250" t="s">
        <v>75</v>
      </c>
      <c r="G38" s="291">
        <v>1</v>
      </c>
      <c r="H38" s="291"/>
      <c r="I38" s="291">
        <f t="shared" si="6"/>
        <v>0</v>
      </c>
      <c r="J38" s="250" t="str">
        <f t="shared" si="7"/>
        <v>GJ</v>
      </c>
      <c r="K38" s="236">
        <f>Inputs!I74</f>
        <v>0</v>
      </c>
      <c r="L38" s="236">
        <f>Inputs!J74</f>
        <v>2</v>
      </c>
      <c r="M38" s="236">
        <f>Inputs!K74</f>
        <v>2</v>
      </c>
      <c r="N38" s="14" t="str">
        <f>Inputs!E74</f>
        <v>GJ</v>
      </c>
      <c r="O38" s="7">
        <f t="shared" si="8"/>
        <v>2</v>
      </c>
      <c r="P38" s="7">
        <f t="shared" si="9"/>
        <v>2</v>
      </c>
      <c r="Q38" s="220">
        <f t="shared" si="10"/>
        <v>0</v>
      </c>
      <c r="R38" s="220">
        <f t="shared" si="11"/>
        <v>0</v>
      </c>
    </row>
    <row r="39" spans="1:18" s="253" customFormat="1" x14ac:dyDescent="0.25">
      <c r="B39" s="14" t="str">
        <f>Inputs!C75</f>
        <v>Biogas - used in process</v>
      </c>
      <c r="C39" s="456">
        <f>Inputs!G75</f>
        <v>0</v>
      </c>
      <c r="D39" s="14">
        <f>Inputs!D75</f>
        <v>0</v>
      </c>
      <c r="E39" s="14" t="str">
        <f>Inputs!E75</f>
        <v>GJ</v>
      </c>
      <c r="F39" s="250" t="s">
        <v>75</v>
      </c>
      <c r="G39" s="291">
        <v>1</v>
      </c>
      <c r="H39" s="291"/>
      <c r="I39" s="291">
        <f t="shared" si="6"/>
        <v>0</v>
      </c>
      <c r="J39" s="250" t="str">
        <f t="shared" si="7"/>
        <v>GJ</v>
      </c>
      <c r="K39" s="236">
        <f>Inputs!I75</f>
        <v>0</v>
      </c>
      <c r="L39" s="236">
        <f>Inputs!J75</f>
        <v>3</v>
      </c>
      <c r="M39" s="236">
        <f>Inputs!K75</f>
        <v>3</v>
      </c>
      <c r="N39" s="14" t="str">
        <f>Inputs!E75</f>
        <v>GJ</v>
      </c>
      <c r="O39" s="7">
        <f t="shared" si="8"/>
        <v>3</v>
      </c>
      <c r="P39" s="7">
        <f t="shared" si="9"/>
        <v>3</v>
      </c>
      <c r="Q39" s="220">
        <f t="shared" si="10"/>
        <v>0</v>
      </c>
      <c r="R39" s="220">
        <f t="shared" si="11"/>
        <v>0</v>
      </c>
    </row>
    <row r="40" spans="1:18" s="253" customFormat="1" x14ac:dyDescent="0.25">
      <c r="B40" s="14" t="str">
        <f>Inputs!C76</f>
        <v>Grid Electricity</v>
      </c>
      <c r="C40" s="456">
        <f>Inputs!G76</f>
        <v>0</v>
      </c>
      <c r="D40" s="14">
        <f>Inputs!D76</f>
        <v>4000000</v>
      </c>
      <c r="E40" s="14" t="str">
        <f>Inputs!E76</f>
        <v>kWh</v>
      </c>
      <c r="F40" s="291" t="s">
        <v>74</v>
      </c>
      <c r="G40" s="291">
        <v>1</v>
      </c>
      <c r="H40" s="291"/>
      <c r="I40" s="291">
        <f t="shared" si="6"/>
        <v>4000000</v>
      </c>
      <c r="J40" s="291" t="str">
        <f t="shared" si="7"/>
        <v>kWh</v>
      </c>
      <c r="K40" s="236">
        <f>Inputs!I76</f>
        <v>0</v>
      </c>
      <c r="L40" s="236">
        <f>Inputs!J76</f>
        <v>0.2</v>
      </c>
      <c r="M40" s="236">
        <f>Inputs!K76</f>
        <v>0.2</v>
      </c>
      <c r="N40" s="14" t="str">
        <f>Inputs!E76</f>
        <v>kWh</v>
      </c>
      <c r="O40" s="7">
        <f t="shared" si="8"/>
        <v>0.2</v>
      </c>
      <c r="P40" s="7">
        <f t="shared" si="9"/>
        <v>0.2</v>
      </c>
      <c r="Q40" s="220">
        <f t="shared" si="10"/>
        <v>800000</v>
      </c>
      <c r="R40" s="220">
        <f t="shared" si="11"/>
        <v>800000</v>
      </c>
    </row>
    <row r="41" spans="1:18" s="253" customFormat="1" x14ac:dyDescent="0.25">
      <c r="B41" s="14" t="str">
        <f>Inputs!C80</f>
        <v>Solar PV Electricity</v>
      </c>
      <c r="C41" s="456">
        <f>Inputs!G80</f>
        <v>0</v>
      </c>
      <c r="D41" s="14">
        <f>Inputs!D80</f>
        <v>0</v>
      </c>
      <c r="E41" s="14" t="str">
        <f>Inputs!E80</f>
        <v>kWh</v>
      </c>
      <c r="F41" s="291" t="s">
        <v>74</v>
      </c>
      <c r="G41" s="291">
        <v>1</v>
      </c>
      <c r="H41" s="291"/>
      <c r="I41" s="291">
        <f t="shared" si="6"/>
        <v>0</v>
      </c>
      <c r="J41" s="291" t="str">
        <f t="shared" si="7"/>
        <v>kWh</v>
      </c>
      <c r="K41" s="236">
        <f>Inputs!I80</f>
        <v>0</v>
      </c>
      <c r="L41" s="236">
        <f>Inputs!J80</f>
        <v>0.1</v>
      </c>
      <c r="M41" s="236">
        <f>Inputs!K80</f>
        <v>0.1</v>
      </c>
      <c r="N41" s="14" t="str">
        <f>Inputs!E80</f>
        <v>kWh</v>
      </c>
      <c r="O41" s="7">
        <f t="shared" si="8"/>
        <v>0.1</v>
      </c>
      <c r="P41" s="7">
        <f t="shared" si="9"/>
        <v>0.1</v>
      </c>
      <c r="Q41" s="220">
        <f t="shared" si="10"/>
        <v>0</v>
      </c>
      <c r="R41" s="220">
        <f t="shared" si="11"/>
        <v>0</v>
      </c>
    </row>
    <row r="42" spans="1:18" x14ac:dyDescent="0.25">
      <c r="B42" s="14" t="str">
        <f>Inputs!C81</f>
        <v>Town Water</v>
      </c>
      <c r="C42" s="456">
        <f>Inputs!G81</f>
        <v>0</v>
      </c>
      <c r="D42" s="14">
        <f>Inputs!D81</f>
        <v>600000</v>
      </c>
      <c r="E42" s="14" t="str">
        <f>Inputs!E81</f>
        <v>kL</v>
      </c>
      <c r="F42" s="200" t="s">
        <v>76</v>
      </c>
      <c r="G42" s="200">
        <v>1</v>
      </c>
      <c r="H42" s="200"/>
      <c r="I42" s="291">
        <f t="shared" si="6"/>
        <v>600000</v>
      </c>
      <c r="J42" s="200" t="str">
        <f t="shared" si="7"/>
        <v>kL</v>
      </c>
      <c r="K42" s="236">
        <f>Inputs!I81</f>
        <v>0</v>
      </c>
      <c r="L42" s="236">
        <f>Inputs!J81</f>
        <v>2</v>
      </c>
      <c r="M42" s="236">
        <f>Inputs!K81</f>
        <v>2</v>
      </c>
      <c r="N42" s="14" t="str">
        <f>Inputs!E81</f>
        <v>kL</v>
      </c>
      <c r="O42" s="7">
        <f t="shared" si="8"/>
        <v>2</v>
      </c>
      <c r="P42" s="7">
        <f t="shared" si="9"/>
        <v>2</v>
      </c>
      <c r="Q42" s="220">
        <f t="shared" si="10"/>
        <v>1200000</v>
      </c>
      <c r="R42" s="220">
        <f t="shared" si="11"/>
        <v>1200000</v>
      </c>
    </row>
    <row r="43" spans="1:18" s="253" customFormat="1" x14ac:dyDescent="0.25">
      <c r="B43" s="14" t="str">
        <f>Inputs!C82</f>
        <v>Bore Water</v>
      </c>
      <c r="C43" s="456">
        <f>Inputs!G82</f>
        <v>0</v>
      </c>
      <c r="D43" s="14">
        <f>Inputs!D82</f>
        <v>0</v>
      </c>
      <c r="E43" s="14" t="str">
        <f>Inputs!E82</f>
        <v>kL</v>
      </c>
      <c r="F43" s="291" t="s">
        <v>76</v>
      </c>
      <c r="G43" s="291">
        <v>1</v>
      </c>
      <c r="H43" s="326"/>
      <c r="I43" s="291">
        <f t="shared" si="6"/>
        <v>0</v>
      </c>
      <c r="J43" s="291" t="str">
        <f t="shared" si="7"/>
        <v>kL</v>
      </c>
      <c r="K43" s="236">
        <f>Inputs!I82</f>
        <v>0</v>
      </c>
      <c r="L43" s="236">
        <f>Inputs!J82</f>
        <v>0.2</v>
      </c>
      <c r="M43" s="236">
        <f>Inputs!K82</f>
        <v>0.2</v>
      </c>
      <c r="N43" s="14" t="str">
        <f>Inputs!E82</f>
        <v>kL</v>
      </c>
      <c r="O43" s="7">
        <f t="shared" si="8"/>
        <v>0.2</v>
      </c>
      <c r="P43" s="7">
        <f t="shared" si="9"/>
        <v>0.2</v>
      </c>
      <c r="Q43" s="220">
        <f t="shared" si="10"/>
        <v>0</v>
      </c>
      <c r="R43" s="220">
        <f t="shared" si="11"/>
        <v>0</v>
      </c>
    </row>
    <row r="44" spans="1:18" s="253" customFormat="1" x14ac:dyDescent="0.25">
      <c r="B44" s="14" t="str">
        <f>Inputs!C83</f>
        <v>Recycled Water</v>
      </c>
      <c r="C44" s="456">
        <f>Inputs!G83</f>
        <v>0</v>
      </c>
      <c r="D44" s="14">
        <f>Inputs!D83</f>
        <v>0</v>
      </c>
      <c r="E44" s="14" t="str">
        <f>Inputs!E83</f>
        <v>kL</v>
      </c>
      <c r="F44" s="291" t="s">
        <v>76</v>
      </c>
      <c r="G44" s="291">
        <v>1</v>
      </c>
      <c r="H44" s="326"/>
      <c r="I44" s="291">
        <f t="shared" si="6"/>
        <v>0</v>
      </c>
      <c r="J44" s="291" t="str">
        <f t="shared" si="7"/>
        <v>kL</v>
      </c>
      <c r="K44" s="236">
        <f>Inputs!I83</f>
        <v>0</v>
      </c>
      <c r="L44" s="236">
        <f>Inputs!J83</f>
        <v>0</v>
      </c>
      <c r="M44" s="236">
        <f>Inputs!K83</f>
        <v>0</v>
      </c>
      <c r="N44" s="14" t="str">
        <f>Inputs!E83</f>
        <v>kL</v>
      </c>
      <c r="O44" s="7">
        <f t="shared" si="8"/>
        <v>0</v>
      </c>
      <c r="P44" s="7">
        <f t="shared" si="9"/>
        <v>0</v>
      </c>
      <c r="Q44" s="220">
        <f t="shared" si="10"/>
        <v>0</v>
      </c>
      <c r="R44" s="220">
        <f t="shared" si="11"/>
        <v>0</v>
      </c>
    </row>
    <row r="45" spans="1:18" s="253" customFormat="1" x14ac:dyDescent="0.25">
      <c r="B45" s="14" t="str">
        <f>Inputs!C84</f>
        <v>Wastewater</v>
      </c>
      <c r="C45" s="456">
        <f>Inputs!G84</f>
        <v>0</v>
      </c>
      <c r="D45" s="14">
        <f>Inputs!D84</f>
        <v>450000</v>
      </c>
      <c r="E45" s="14" t="str">
        <f>Inputs!E84</f>
        <v>kL</v>
      </c>
      <c r="F45" s="291" t="s">
        <v>76</v>
      </c>
      <c r="G45" s="291">
        <v>1</v>
      </c>
      <c r="H45" s="326"/>
      <c r="I45" s="291">
        <f t="shared" si="6"/>
        <v>450000</v>
      </c>
      <c r="J45" s="291" t="str">
        <f t="shared" si="7"/>
        <v>kL</v>
      </c>
      <c r="K45" s="236">
        <f>Inputs!I84</f>
        <v>0</v>
      </c>
      <c r="L45" s="236">
        <f>Inputs!J84</f>
        <v>2.5</v>
      </c>
      <c r="M45" s="236">
        <f>Inputs!K84</f>
        <v>2.5</v>
      </c>
      <c r="N45" s="14" t="str">
        <f>Inputs!E84</f>
        <v>kL</v>
      </c>
      <c r="O45" s="7">
        <f t="shared" si="8"/>
        <v>2.5</v>
      </c>
      <c r="P45" s="7">
        <f t="shared" si="9"/>
        <v>2.5</v>
      </c>
      <c r="Q45" s="220">
        <f t="shared" si="10"/>
        <v>1125000</v>
      </c>
      <c r="R45" s="220">
        <f t="shared" si="11"/>
        <v>1125000</v>
      </c>
    </row>
    <row r="46" spans="1:18" x14ac:dyDescent="0.25">
      <c r="L46" s="253"/>
      <c r="M46" s="253"/>
      <c r="N46" s="253"/>
      <c r="O46" s="253"/>
      <c r="P46" s="253"/>
      <c r="Q46" s="253"/>
      <c r="R46" s="253"/>
    </row>
    <row r="47" spans="1:18" ht="13" x14ac:dyDescent="0.3">
      <c r="A47" s="177" t="str">
        <f>B16</f>
        <v>2) Calculate tHSCW for the site</v>
      </c>
      <c r="L47" s="253"/>
      <c r="M47" s="253"/>
      <c r="N47" s="253"/>
      <c r="O47" s="253"/>
      <c r="P47" s="253"/>
      <c r="Q47" s="253"/>
      <c r="R47" s="253"/>
    </row>
    <row r="48" spans="1:18" x14ac:dyDescent="0.25">
      <c r="L48" s="253"/>
      <c r="M48" s="253"/>
      <c r="N48" s="253"/>
      <c r="O48" s="253"/>
      <c r="P48" s="253"/>
      <c r="Q48" s="253"/>
      <c r="R48" s="253"/>
    </row>
    <row r="49" spans="1:18" x14ac:dyDescent="0.25">
      <c r="L49" s="253"/>
      <c r="M49" s="253"/>
      <c r="N49" s="253"/>
      <c r="O49" s="253"/>
      <c r="P49" s="253"/>
      <c r="Q49" s="253"/>
      <c r="R49" s="253"/>
    </row>
    <row r="50" spans="1:18" x14ac:dyDescent="0.25">
      <c r="H50" s="4" t="s">
        <v>425</v>
      </c>
      <c r="I50" s="4" t="s">
        <v>426</v>
      </c>
      <c r="L50" s="253"/>
      <c r="M50" s="253"/>
      <c r="N50" s="253"/>
      <c r="O50" s="253"/>
      <c r="P50" s="253"/>
      <c r="Q50" s="253"/>
      <c r="R50" s="253"/>
    </row>
    <row r="51" spans="1:18" ht="25" x14ac:dyDescent="0.25">
      <c r="B51" s="309" t="s">
        <v>686</v>
      </c>
      <c r="C51" s="326" t="s">
        <v>679</v>
      </c>
      <c r="D51" s="326" t="s">
        <v>425</v>
      </c>
      <c r="E51" s="326" t="s">
        <v>426</v>
      </c>
      <c r="F51" s="326" t="s">
        <v>687</v>
      </c>
      <c r="G51" s="12" t="s">
        <v>92</v>
      </c>
      <c r="H51" s="12" t="s">
        <v>384</v>
      </c>
      <c r="I51" s="155" t="s">
        <v>384</v>
      </c>
      <c r="L51" s="253"/>
      <c r="M51" s="253"/>
      <c r="N51" s="253"/>
      <c r="O51" s="253"/>
      <c r="P51" s="253"/>
      <c r="Q51" s="253"/>
      <c r="R51" s="253"/>
    </row>
    <row r="52" spans="1:18" x14ac:dyDescent="0.25">
      <c r="B52" s="326" t="s">
        <v>682</v>
      </c>
      <c r="C52" s="359" t="str">
        <f>Inputs!I12</f>
        <v>Cattle</v>
      </c>
      <c r="D52" s="359">
        <f>Inputs!K12</f>
        <v>40000</v>
      </c>
      <c r="E52" s="359" t="str">
        <f>Inputs!J12</f>
        <v>-</v>
      </c>
      <c r="F52" s="359" t="str">
        <f>Inputs!L12</f>
        <v>tHSCW / yr</v>
      </c>
      <c r="G52" s="14" t="str">
        <f>IF($F52='Drop-downs'!$E$19,Inputs!Q12/1000,"")</f>
        <v/>
      </c>
      <c r="H52" s="200">
        <f>IF($F52='Drop-downs'!$E$19,D52*$G52,D52)</f>
        <v>40000</v>
      </c>
      <c r="I52" s="370"/>
      <c r="L52" s="253"/>
      <c r="M52" s="253"/>
      <c r="N52" s="253"/>
      <c r="O52" s="253"/>
      <c r="P52" s="253"/>
      <c r="Q52" s="253"/>
      <c r="R52" s="253"/>
    </row>
    <row r="53" spans="1:18" x14ac:dyDescent="0.25">
      <c r="B53" s="326" t="s">
        <v>682</v>
      </c>
      <c r="C53" s="359" t="str">
        <f>Inputs!I13</f>
        <v>Calves</v>
      </c>
      <c r="D53" s="359">
        <f>Inputs!K13</f>
        <v>0</v>
      </c>
      <c r="E53" s="359" t="str">
        <f>Inputs!J13</f>
        <v>-</v>
      </c>
      <c r="F53" s="359" t="str">
        <f>Inputs!L13</f>
        <v>tHSCW / yr</v>
      </c>
      <c r="G53" s="14" t="str">
        <f>IF($F53='Drop-downs'!$E$19,Inputs!Q13/1000,"")</f>
        <v/>
      </c>
      <c r="H53" s="291">
        <f>IF($F53='Drop-downs'!$E$19,D53*$G53,D53)</f>
        <v>0</v>
      </c>
      <c r="I53" s="373"/>
      <c r="L53" s="253"/>
      <c r="M53" s="253"/>
      <c r="N53" s="253"/>
      <c r="O53" s="253"/>
      <c r="P53" s="253"/>
      <c r="Q53" s="253"/>
      <c r="R53" s="253"/>
    </row>
    <row r="54" spans="1:18" s="253" customFormat="1" x14ac:dyDescent="0.25">
      <c r="B54" s="326" t="s">
        <v>683</v>
      </c>
      <c r="C54" s="359" t="str">
        <f>Inputs!I14</f>
        <v>Pigs</v>
      </c>
      <c r="D54" s="359">
        <f>Inputs!K14</f>
        <v>0</v>
      </c>
      <c r="E54" s="359" t="str">
        <f>Inputs!J14</f>
        <v>-</v>
      </c>
      <c r="F54" s="359" t="str">
        <f>Inputs!L14</f>
        <v>tHSCW / yr</v>
      </c>
      <c r="G54" s="14" t="str">
        <f>IF($F54='Drop-downs'!$E$19,Inputs!Q14/1000,"")</f>
        <v/>
      </c>
      <c r="H54" s="291">
        <f>IF($F54='Drop-downs'!$E$19,D54*$G54,D54)</f>
        <v>0</v>
      </c>
      <c r="I54" s="373"/>
    </row>
    <row r="55" spans="1:18" x14ac:dyDescent="0.25">
      <c r="B55" s="326" t="s">
        <v>683</v>
      </c>
      <c r="C55" s="359" t="str">
        <f>Inputs!I15</f>
        <v>Sheep</v>
      </c>
      <c r="D55" s="359">
        <f>Inputs!K15</f>
        <v>0</v>
      </c>
      <c r="E55" s="359" t="str">
        <f>Inputs!J15</f>
        <v>-</v>
      </c>
      <c r="F55" s="359" t="str">
        <f>Inputs!L15</f>
        <v>tHSCW / yr</v>
      </c>
      <c r="G55" s="14" t="str">
        <f>IF($F55='Drop-downs'!$E$19,Inputs!Q15/1000,"")</f>
        <v/>
      </c>
      <c r="H55" s="291">
        <f>IF($F55='Drop-downs'!$E$19,D55*$G55,D55)</f>
        <v>0</v>
      </c>
      <c r="I55" s="373"/>
      <c r="L55" s="253"/>
      <c r="M55" s="253"/>
      <c r="N55" s="253"/>
      <c r="O55" s="253"/>
      <c r="P55" s="253"/>
      <c r="Q55" s="253"/>
      <c r="R55" s="253"/>
    </row>
    <row r="56" spans="1:18" s="253" customFormat="1" x14ac:dyDescent="0.25">
      <c r="B56" s="326" t="s">
        <v>683</v>
      </c>
      <c r="C56" s="359" t="str">
        <f>Inputs!I16</f>
        <v>Rams</v>
      </c>
      <c r="D56" s="359">
        <f>Inputs!K16</f>
        <v>0</v>
      </c>
      <c r="E56" s="359" t="str">
        <f>Inputs!J16</f>
        <v>-</v>
      </c>
      <c r="F56" s="359" t="str">
        <f>Inputs!L16</f>
        <v>tHSCW / yr</v>
      </c>
      <c r="G56" s="14" t="str">
        <f>IF($F56='Drop-downs'!$E$19,Inputs!Q16/1000,"")</f>
        <v/>
      </c>
      <c r="H56" s="291">
        <f>IF($F56='Drop-downs'!$E$19,D56*$G56,D56)</f>
        <v>0</v>
      </c>
      <c r="I56" s="373"/>
    </row>
    <row r="57" spans="1:18" x14ac:dyDescent="0.25">
      <c r="B57" s="326" t="s">
        <v>683</v>
      </c>
      <c r="C57" s="359" t="str">
        <f>Inputs!I17</f>
        <v>Lamb</v>
      </c>
      <c r="D57" s="359">
        <f>Inputs!K17</f>
        <v>0</v>
      </c>
      <c r="E57" s="359" t="str">
        <f>Inputs!J17</f>
        <v>-</v>
      </c>
      <c r="F57" s="359" t="str">
        <f>Inputs!L17</f>
        <v>tHSCW / yr</v>
      </c>
      <c r="G57" s="14" t="str">
        <f>IF($F57='Drop-downs'!$E$19,Inputs!Q17/1000,"")</f>
        <v/>
      </c>
      <c r="H57" s="291">
        <f>IF($F57='Drop-downs'!$E$19,D57*$G57,D57)</f>
        <v>0</v>
      </c>
      <c r="I57" s="373"/>
      <c r="L57" s="253"/>
      <c r="M57" s="253"/>
      <c r="N57" s="253"/>
      <c r="O57" s="253"/>
      <c r="P57" s="253"/>
      <c r="Q57" s="253"/>
      <c r="R57" s="253"/>
    </row>
    <row r="58" spans="1:18" x14ac:dyDescent="0.25">
      <c r="B58" s="326" t="s">
        <v>683</v>
      </c>
      <c r="C58" s="359" t="str">
        <f>Inputs!I18</f>
        <v>Goat</v>
      </c>
      <c r="D58" s="359">
        <f>Inputs!K18</f>
        <v>0</v>
      </c>
      <c r="E58" s="359" t="str">
        <f>Inputs!J18</f>
        <v>-</v>
      </c>
      <c r="F58" s="359" t="str">
        <f>Inputs!L18</f>
        <v>tHSCW / yr</v>
      </c>
      <c r="G58" s="14" t="str">
        <f>IF($F58='Drop-downs'!$E$19,Inputs!Q18/1000,"")</f>
        <v/>
      </c>
      <c r="H58" s="291">
        <f>IF($F58='Drop-downs'!$E$19,D58*$G58,D58)</f>
        <v>0</v>
      </c>
      <c r="I58" s="373"/>
    </row>
    <row r="59" spans="1:18" x14ac:dyDescent="0.25">
      <c r="E59" s="156"/>
      <c r="H59" s="17">
        <f>SUM(H52:H58)</f>
        <v>40000</v>
      </c>
      <c r="I59" s="372">
        <f>Inputs!$J$19</f>
        <v>45000</v>
      </c>
      <c r="J59" s="4" t="s">
        <v>343</v>
      </c>
    </row>
    <row r="62" spans="1:18" ht="13" x14ac:dyDescent="0.3">
      <c r="A62" s="177" t="str">
        <f>B17</f>
        <v>3) Calculate site performance, ready for comparison to benchmark</v>
      </c>
    </row>
    <row r="63" spans="1:18" s="253" customFormat="1" x14ac:dyDescent="0.25">
      <c r="I63" s="498"/>
      <c r="J63" s="498"/>
    </row>
    <row r="64" spans="1:18" x14ac:dyDescent="0.25">
      <c r="B64" s="4" t="s">
        <v>318</v>
      </c>
      <c r="D64" s="269">
        <f>SUM(I30:I39,I27)*1000</f>
        <v>195000000</v>
      </c>
      <c r="E64" s="4" t="s">
        <v>448</v>
      </c>
      <c r="F64" s="97">
        <f>D64/$H$59</f>
        <v>4875</v>
      </c>
      <c r="G64" s="4" t="s">
        <v>412</v>
      </c>
      <c r="I64" s="458">
        <f>SUM(Q30:Q39)/SUM(I27:I39)</f>
        <v>1.2717948717948717</v>
      </c>
      <c r="J64" s="267">
        <f>SUM(R30:R39)/SUM(I27:I39)</f>
        <v>1.2717948717948717</v>
      </c>
      <c r="K64" s="4" t="s">
        <v>79</v>
      </c>
      <c r="L64" s="459">
        <f>I64/J64</f>
        <v>1</v>
      </c>
    </row>
    <row r="65" spans="1:12" x14ac:dyDescent="0.25">
      <c r="B65" s="4" t="s">
        <v>317</v>
      </c>
      <c r="D65" s="269">
        <f>SUM(I40:I41,I25)</f>
        <v>14000000</v>
      </c>
      <c r="E65" s="4" t="s">
        <v>385</v>
      </c>
      <c r="F65" s="97">
        <f>D65/$H$59</f>
        <v>350</v>
      </c>
      <c r="G65" s="4" t="s">
        <v>331</v>
      </c>
      <c r="I65" s="458">
        <f>SUM(Q40:Q41,Q23:Q24)/SUM(I25,I40:I41)</f>
        <v>0.15357142857142858</v>
      </c>
      <c r="J65" s="268">
        <f>SUM(R40:R41,R23:R24)/SUM(I25,I40:I41)</f>
        <v>0.15357142857142858</v>
      </c>
      <c r="K65" s="4" t="s">
        <v>78</v>
      </c>
      <c r="L65" s="459">
        <f t="shared" ref="L65:L67" si="18">I65/J65</f>
        <v>1</v>
      </c>
    </row>
    <row r="66" spans="1:12" s="253" customFormat="1" x14ac:dyDescent="0.25">
      <c r="B66" s="253" t="s">
        <v>713</v>
      </c>
      <c r="D66" s="437">
        <f>D64+D65*NGERFactors!$G$151*1000</f>
        <v>245400000</v>
      </c>
      <c r="E66" s="253" t="s">
        <v>448</v>
      </c>
      <c r="F66" s="97">
        <f>D66/$H$59</f>
        <v>6135</v>
      </c>
      <c r="G66" s="253" t="s">
        <v>412</v>
      </c>
      <c r="I66" s="101">
        <f>SUM(Q23:Q41)/(SUM(I27:I39)+SUM(I25,I40:I41)*NGERFactors!$G$151)</f>
        <v>9.7718011409942953</v>
      </c>
      <c r="J66" s="268">
        <f>SUM(R23:R41)/(SUM(I27:I39)+SUM(I25,I40:I41)*NGERFactors!$G$151)</f>
        <v>9.7718011409942953</v>
      </c>
      <c r="K66" s="253" t="s">
        <v>79</v>
      </c>
      <c r="L66" s="459">
        <f t="shared" si="18"/>
        <v>1</v>
      </c>
    </row>
    <row r="67" spans="1:12" x14ac:dyDescent="0.25">
      <c r="B67" s="4" t="s">
        <v>319</v>
      </c>
      <c r="D67" s="269">
        <f>SUM(I42:I43)</f>
        <v>600000</v>
      </c>
      <c r="E67" s="4" t="s">
        <v>332</v>
      </c>
      <c r="F67" s="152">
        <f>D67/$H$59</f>
        <v>15</v>
      </c>
      <c r="G67" s="4" t="s">
        <v>91</v>
      </c>
      <c r="I67" s="458">
        <f>SUMPRODUCT(I42:I45,L42:L45)/SUM(I42:I43)</f>
        <v>3.875</v>
      </c>
      <c r="J67" s="268">
        <f>SUM(R42:R45)/SUM(I42:I43)</f>
        <v>3.875</v>
      </c>
      <c r="K67" s="4" t="s">
        <v>80</v>
      </c>
      <c r="L67" s="459">
        <f t="shared" si="18"/>
        <v>1</v>
      </c>
    </row>
    <row r="68" spans="1:12" x14ac:dyDescent="0.25">
      <c r="I68" s="498"/>
      <c r="J68" s="498"/>
    </row>
    <row r="69" spans="1:12" s="148" customFormat="1" ht="19.5" thickBot="1" x14ac:dyDescent="0.45">
      <c r="B69" s="5" t="s">
        <v>697</v>
      </c>
    </row>
    <row r="70" spans="1:12" s="148" customFormat="1" ht="13" thickTop="1" x14ac:dyDescent="0.25">
      <c r="I70" s="498"/>
      <c r="J70" s="496"/>
    </row>
    <row r="71" spans="1:12" s="148" customFormat="1" x14ac:dyDescent="0.25">
      <c r="B71" s="148" t="s">
        <v>86</v>
      </c>
    </row>
    <row r="72" spans="1:12" s="148" customFormat="1" x14ac:dyDescent="0.25"/>
    <row r="73" spans="1:12" s="148" customFormat="1" x14ac:dyDescent="0.25">
      <c r="B73" s="203" t="s">
        <v>415</v>
      </c>
    </row>
    <row r="74" spans="1:12" s="148" customFormat="1" x14ac:dyDescent="0.25">
      <c r="B74" s="203" t="s">
        <v>698</v>
      </c>
    </row>
    <row r="75" spans="1:12" s="253" customFormat="1" x14ac:dyDescent="0.25">
      <c r="B75" s="253" t="s">
        <v>751</v>
      </c>
    </row>
    <row r="76" spans="1:12" s="253" customFormat="1" x14ac:dyDescent="0.25">
      <c r="B76" s="253" t="s">
        <v>718</v>
      </c>
    </row>
    <row r="77" spans="1:12" s="148" customFormat="1" x14ac:dyDescent="0.25">
      <c r="B77" s="203" t="s">
        <v>719</v>
      </c>
    </row>
    <row r="78" spans="1:12" s="148" customFormat="1" x14ac:dyDescent="0.25"/>
    <row r="79" spans="1:12" s="148" customFormat="1" ht="13" x14ac:dyDescent="0.3">
      <c r="A79" s="177" t="str">
        <f>B73</f>
        <v>1) Import the relevant best-practice benchmark dataset based on if the user's site has rendering</v>
      </c>
    </row>
    <row r="80" spans="1:12" s="148" customFormat="1" x14ac:dyDescent="0.25"/>
    <row r="81" spans="1:14" s="148" customFormat="1" x14ac:dyDescent="0.25">
      <c r="B81" s="16" t="str">
        <f>Inputs!C29</f>
        <v>3.1. Rendering</v>
      </c>
      <c r="C81" s="16" t="str">
        <f>Inputs!D29</f>
        <v>Continuous</v>
      </c>
    </row>
    <row r="82" spans="1:14" s="148" customFormat="1" x14ac:dyDescent="0.25"/>
    <row r="83" spans="1:14" s="156" customFormat="1" x14ac:dyDescent="0.25"/>
    <row r="84" spans="1:14" s="156" customFormat="1" x14ac:dyDescent="0.25">
      <c r="A84" s="156" t="s">
        <v>416</v>
      </c>
    </row>
    <row r="85" spans="1:14" s="148" customFormat="1" x14ac:dyDescent="0.25">
      <c r="B85" s="148" t="s">
        <v>84</v>
      </c>
      <c r="C85" s="16">
        <f>IF($C$81='Drop-downs'!$K$21,'Benchmark-Energy'!$AY$70,'Benchmark-Energy'!$AB$70)</f>
        <v>2334</v>
      </c>
      <c r="D85" s="253" t="s">
        <v>412</v>
      </c>
      <c r="F85" s="156"/>
    </row>
    <row r="86" spans="1:14" s="148" customFormat="1" x14ac:dyDescent="0.25">
      <c r="B86" s="148" t="s">
        <v>72</v>
      </c>
      <c r="C86" s="237">
        <f>IF($C$81='Drop-downs'!$K$21,'Benchmark-Energy'!$AY$71,'Benchmark-Energy'!$AB$71)</f>
        <v>257</v>
      </c>
      <c r="D86" s="253" t="s">
        <v>331</v>
      </c>
      <c r="F86" s="156"/>
    </row>
    <row r="87" spans="1:14" s="148" customFormat="1" x14ac:dyDescent="0.25">
      <c r="B87" s="148" t="s">
        <v>67</v>
      </c>
      <c r="C87" s="16">
        <f>'Benchmark-Water'!$AB$61</f>
        <v>7.8</v>
      </c>
      <c r="D87" s="253" t="s">
        <v>91</v>
      </c>
      <c r="F87" s="156"/>
    </row>
    <row r="88" spans="1:14" s="148" customFormat="1" x14ac:dyDescent="0.25"/>
    <row r="89" spans="1:14" s="148" customFormat="1" ht="13" x14ac:dyDescent="0.3">
      <c r="A89" s="177" t="str">
        <f>B74</f>
        <v>2) Import the user's plant facilities and facility throughputs</v>
      </c>
    </row>
    <row r="90" spans="1:14" s="148" customFormat="1" x14ac:dyDescent="0.25"/>
    <row r="91" spans="1:14" s="148" customFormat="1" ht="37.5" x14ac:dyDescent="0.25">
      <c r="B91" s="153"/>
      <c r="C91" s="155" t="s">
        <v>1</v>
      </c>
      <c r="D91" s="155" t="s">
        <v>2</v>
      </c>
      <c r="E91" s="155" t="s">
        <v>3</v>
      </c>
      <c r="F91" s="155" t="s">
        <v>4</v>
      </c>
      <c r="G91" s="155" t="s">
        <v>5</v>
      </c>
      <c r="H91" s="155" t="s">
        <v>6</v>
      </c>
      <c r="I91" s="155" t="s">
        <v>7</v>
      </c>
      <c r="J91" s="155" t="s">
        <v>11</v>
      </c>
      <c r="K91" s="155" t="s">
        <v>8</v>
      </c>
      <c r="L91" s="155" t="s">
        <v>9</v>
      </c>
      <c r="M91" s="155" t="s">
        <v>10</v>
      </c>
      <c r="N91" s="155" t="s">
        <v>12</v>
      </c>
    </row>
    <row r="92" spans="1:14" s="253" customFormat="1" x14ac:dyDescent="0.25">
      <c r="B92" s="191" t="s">
        <v>414</v>
      </c>
      <c r="C92" s="354" t="str">
        <f>Inputs!D17</f>
        <v>Yes</v>
      </c>
      <c r="D92" s="354" t="str">
        <f>Inputs!D18</f>
        <v>Yes</v>
      </c>
      <c r="E92" s="354" t="str">
        <f>Inputs!D35</f>
        <v>No</v>
      </c>
      <c r="F92" s="354" t="str">
        <f>Inputs!D19</f>
        <v>No</v>
      </c>
      <c r="G92" s="354" t="str">
        <f>Inputs!D29</f>
        <v>Continuous</v>
      </c>
      <c r="H92" s="354" t="str">
        <f>Inputs!K35</f>
        <v>Yes</v>
      </c>
      <c r="I92" s="354" t="str">
        <f>Inputs!D20</f>
        <v>Yes</v>
      </c>
      <c r="J92" s="354" t="str">
        <f>Inputs!D21</f>
        <v>Yes</v>
      </c>
      <c r="K92" s="507" t="s">
        <v>77</v>
      </c>
      <c r="L92" s="354" t="str">
        <f>Inputs!K29</f>
        <v>Yes</v>
      </c>
      <c r="M92" s="354" t="str">
        <f>Inputs!D22</f>
        <v>Yes</v>
      </c>
      <c r="N92" s="354" t="str">
        <f>Inputs!Q29</f>
        <v>Yes</v>
      </c>
    </row>
    <row r="93" spans="1:14" s="148" customFormat="1" x14ac:dyDescent="0.25">
      <c r="B93" s="191" t="s">
        <v>677</v>
      </c>
      <c r="C93" s="14" t="str">
        <f>C92</f>
        <v>Yes</v>
      </c>
      <c r="D93" s="14" t="str">
        <f t="shared" ref="D93:N93" si="19">D92</f>
        <v>Yes</v>
      </c>
      <c r="E93" s="14" t="str">
        <f t="shared" si="19"/>
        <v>No</v>
      </c>
      <c r="F93" s="14" t="str">
        <f t="shared" si="19"/>
        <v>No</v>
      </c>
      <c r="G93" s="14" t="str">
        <f>IF(G92='Drop-downs'!$K$21,"No","Yes")</f>
        <v>Yes</v>
      </c>
      <c r="H93" s="14" t="str">
        <f t="shared" si="19"/>
        <v>Yes</v>
      </c>
      <c r="I93" s="14" t="str">
        <f t="shared" si="19"/>
        <v>Yes</v>
      </c>
      <c r="J93" s="14" t="str">
        <f t="shared" si="19"/>
        <v>Yes</v>
      </c>
      <c r="K93" s="507" t="str">
        <f t="shared" si="19"/>
        <v>Yes</v>
      </c>
      <c r="L93" s="14" t="str">
        <f t="shared" si="19"/>
        <v>Yes</v>
      </c>
      <c r="M93" s="14" t="str">
        <f t="shared" si="19"/>
        <v>Yes</v>
      </c>
      <c r="N93" s="14" t="str">
        <f t="shared" si="19"/>
        <v>Yes</v>
      </c>
    </row>
    <row r="94" spans="1:14" s="253" customFormat="1" x14ac:dyDescent="0.25">
      <c r="B94" s="191" t="s">
        <v>886</v>
      </c>
      <c r="C94" s="506">
        <f>Inputs!E17</f>
        <v>1</v>
      </c>
      <c r="D94" s="506">
        <f>Inputs!E18</f>
        <v>1</v>
      </c>
      <c r="E94" s="508">
        <v>1</v>
      </c>
      <c r="F94" s="506">
        <f>Inputs!E19</f>
        <v>1</v>
      </c>
      <c r="G94" s="508">
        <v>1</v>
      </c>
      <c r="H94" s="508">
        <v>1</v>
      </c>
      <c r="I94" s="506">
        <f>Inputs!E20</f>
        <v>1</v>
      </c>
      <c r="J94" s="506">
        <f>Inputs!E21</f>
        <v>1</v>
      </c>
      <c r="K94" s="508">
        <v>1</v>
      </c>
      <c r="L94" s="508">
        <v>1</v>
      </c>
      <c r="M94" s="506">
        <f>Inputs!E22</f>
        <v>1</v>
      </c>
      <c r="N94" s="508">
        <v>1</v>
      </c>
    </row>
    <row r="95" spans="1:14" s="148" customFormat="1" x14ac:dyDescent="0.25"/>
    <row r="96" spans="1:14" s="253" customFormat="1" x14ac:dyDescent="0.25">
      <c r="B96" s="253" t="str">
        <f>Inputs!C30</f>
        <v>How much rendering product is external vs internal?</v>
      </c>
      <c r="G96" s="253" t="str">
        <f>Inputs!I30</f>
        <v>How much product enters the boning room?</v>
      </c>
      <c r="K96" s="253" t="str">
        <f>Inputs!N30</f>
        <v>How much final product leaves the site as chilled/frozen?</v>
      </c>
    </row>
    <row r="97" spans="1:15" s="253" customFormat="1" x14ac:dyDescent="0.25">
      <c r="B97" s="253" t="str">
        <f>Inputs!C31</f>
        <v>Internal input (t/yr)</v>
      </c>
      <c r="E97" s="360">
        <f>Inputs!D31</f>
        <v>38000</v>
      </c>
      <c r="G97" s="253" t="str">
        <f>Inputs!I31</f>
        <v>Boning room (tonnes/yr)</v>
      </c>
      <c r="I97" s="360">
        <f>Inputs!K31</f>
        <v>34000</v>
      </c>
      <c r="K97" s="444" t="s">
        <v>910</v>
      </c>
      <c r="M97" s="360">
        <f>Inputs!Q31</f>
        <v>4000</v>
      </c>
    </row>
    <row r="98" spans="1:15" s="253" customFormat="1" x14ac:dyDescent="0.25">
      <c r="B98" s="253" t="str">
        <f>Inputs!C32</f>
        <v>External input (t/yr)</v>
      </c>
      <c r="E98" s="360">
        <f>Inputs!D32</f>
        <v>0</v>
      </c>
      <c r="G98" s="253" t="str">
        <f>Inputs!I32</f>
        <v>Carcass only (t/yr)</v>
      </c>
      <c r="I98" s="360">
        <f>Inputs!K32</f>
        <v>4000</v>
      </c>
      <c r="K98" s="444" t="s">
        <v>911</v>
      </c>
      <c r="M98" s="360">
        <f>Inputs!Q32</f>
        <v>34000</v>
      </c>
    </row>
    <row r="99" spans="1:15" s="253" customFormat="1" x14ac:dyDescent="0.25"/>
    <row r="100" spans="1:15" s="253" customFormat="1" ht="13" x14ac:dyDescent="0.3">
      <c r="A100" s="177" t="str">
        <f>B75</f>
        <v>3) Import adjustment factors for facilities, based on Live Weight recovery rates</v>
      </c>
    </row>
    <row r="101" spans="1:15" s="253" customFormat="1" x14ac:dyDescent="0.25"/>
    <row r="102" spans="1:15" s="253" customFormat="1" x14ac:dyDescent="0.25"/>
    <row r="103" spans="1:15" s="253" customFormat="1" x14ac:dyDescent="0.25">
      <c r="B103" s="253" t="s">
        <v>699</v>
      </c>
      <c r="E103" s="367">
        <f>'Benchmark-Adjustments'!E142</f>
        <v>1.3571428571428572</v>
      </c>
      <c r="G103" s="253" t="s">
        <v>700</v>
      </c>
      <c r="I103" s="361">
        <f>'Benchmark-Adjustments'!I142</f>
        <v>1.2302631578947369</v>
      </c>
      <c r="K103" s="253" t="s">
        <v>701</v>
      </c>
      <c r="M103" s="361">
        <f>'Benchmark-Adjustments'!M147</f>
        <v>1.2302631578947369</v>
      </c>
    </row>
    <row r="104" spans="1:15" s="253" customFormat="1" x14ac:dyDescent="0.25">
      <c r="B104" s="253" t="s">
        <v>702</v>
      </c>
      <c r="K104" s="253" t="s">
        <v>752</v>
      </c>
      <c r="M104" s="371">
        <f>'Benchmark-Adjustments'!Q147</f>
        <v>1.375</v>
      </c>
    </row>
    <row r="105" spans="1:15" s="253" customFormat="1" x14ac:dyDescent="0.25">
      <c r="M105" s="371"/>
    </row>
    <row r="106" spans="1:15" s="253" customFormat="1" x14ac:dyDescent="0.25">
      <c r="B106" s="253" t="s">
        <v>891</v>
      </c>
      <c r="E106" s="510">
        <f>'Benchmark-Adjustments'!E168</f>
        <v>0</v>
      </c>
      <c r="G106" s="253" t="s">
        <v>926</v>
      </c>
      <c r="I106" s="253">
        <f>'Benchmark-Adjustments'!E198</f>
        <v>0.86135865921787702</v>
      </c>
      <c r="M106" s="371"/>
    </row>
    <row r="107" spans="1:15" s="253" customFormat="1" x14ac:dyDescent="0.25">
      <c r="M107" s="371"/>
    </row>
    <row r="108" spans="1:15" s="253" customFormat="1" x14ac:dyDescent="0.25"/>
    <row r="109" spans="1:15" s="253" customFormat="1" ht="13" x14ac:dyDescent="0.3">
      <c r="A109" s="177" t="str">
        <f>B76</f>
        <v>4) Calculate the energy and water consumption per facility, then adjust for facility throughputs</v>
      </c>
    </row>
    <row r="110" spans="1:15" s="253" customFormat="1" x14ac:dyDescent="0.25"/>
    <row r="111" spans="1:15" s="253" customFormat="1" ht="38" x14ac:dyDescent="0.3">
      <c r="B111" s="362" t="s">
        <v>703</v>
      </c>
      <c r="C111" s="325" t="str">
        <f t="shared" ref="C111:N111" si="20">C91</f>
        <v>Stockyards</v>
      </c>
      <c r="D111" s="325" t="str">
        <f t="shared" si="20"/>
        <v>Slaughter and Evisceration</v>
      </c>
      <c r="E111" s="325" t="str">
        <f t="shared" si="20"/>
        <v>Hide Processing</v>
      </c>
      <c r="F111" s="325" t="str">
        <f t="shared" si="20"/>
        <v>Blood Processing</v>
      </c>
      <c r="G111" s="325" t="str">
        <f t="shared" si="20"/>
        <v>Rendering</v>
      </c>
      <c r="H111" s="325" t="str">
        <f t="shared" si="20"/>
        <v>Paunch Processing</v>
      </c>
      <c r="I111" s="325" t="str">
        <f t="shared" si="20"/>
        <v>Offal Washing</v>
      </c>
      <c r="J111" s="325" t="str">
        <f t="shared" si="20"/>
        <v>Wastewater Treatment</v>
      </c>
      <c r="K111" s="325" t="str">
        <f t="shared" si="20"/>
        <v>Chilling</v>
      </c>
      <c r="L111" s="325" t="str">
        <f t="shared" si="20"/>
        <v>Boning</v>
      </c>
      <c r="M111" s="325" t="str">
        <f t="shared" si="20"/>
        <v>Packaging</v>
      </c>
      <c r="N111" s="325" t="str">
        <f t="shared" si="20"/>
        <v>Freezing</v>
      </c>
    </row>
    <row r="112" spans="1:15" s="253" customFormat="1" x14ac:dyDescent="0.25">
      <c r="A112" s="668" t="s">
        <v>704</v>
      </c>
      <c r="B112" s="326" t="s">
        <v>84</v>
      </c>
      <c r="C112" s="331">
        <f>(C$93="Yes")*'Benchmark-Energy'!P59*C$94</f>
        <v>4.8469741033097908E-3</v>
      </c>
      <c r="D112" s="331">
        <f>(D$93="Yes")*'Benchmark-Energy'!Q59*D$94</f>
        <v>6.159811660434842E-2</v>
      </c>
      <c r="E112" s="331">
        <f>(E$93="Yes")*'Benchmark-Energy'!R59*E$94</f>
        <v>0</v>
      </c>
      <c r="F112" s="331">
        <f>(F$93="Yes")*'Benchmark-Energy'!S59*F$94</f>
        <v>0</v>
      </c>
      <c r="G112" s="331">
        <f>(G$93="Yes")*'Benchmark-Energy'!T59*G$94</f>
        <v>0.77171741151799311</v>
      </c>
      <c r="H112" s="331">
        <f>(H$93="Yes")*'Benchmark-Energy'!U59*H$94</f>
        <v>7.7551585652956634E-3</v>
      </c>
      <c r="I112" s="331">
        <f>(I$93="Yes")*'Benchmark-Energy'!V59*I$94</f>
        <v>4.431519180168951E-3</v>
      </c>
      <c r="J112" s="331">
        <f>(J$93="Yes")*'Benchmark-Energy'!W59*J$94</f>
        <v>3.6006093338872723E-3</v>
      </c>
      <c r="K112" s="331">
        <f>(K$93="Yes")*'Benchmark-Energy'!X59*K$94</f>
        <v>1.5233347181830771E-3</v>
      </c>
      <c r="L112" s="331">
        <f>(L$93="Yes")*'Benchmark-Energy'!Y59*L$94</f>
        <v>3.6255366292757239E-2</v>
      </c>
      <c r="M112" s="331">
        <f>(M$93="Yes")*'Benchmark-Energy'!Z59*M$94</f>
        <v>1.8556986566957484E-3</v>
      </c>
      <c r="N112" s="331">
        <f>(N$93="Yes")*'Benchmark-Energy'!AA59*N$94</f>
        <v>6.9242487190139849E-4</v>
      </c>
      <c r="O112" s="97">
        <f>SUM(C112:N112)*C85</f>
        <v>2087.2416167131582</v>
      </c>
    </row>
    <row r="113" spans="1:15" s="253" customFormat="1" x14ac:dyDescent="0.25">
      <c r="A113" s="668"/>
      <c r="B113" s="326" t="s">
        <v>85</v>
      </c>
      <c r="C113" s="331">
        <f>(C$93="Yes")*'Benchmark-Energy'!P60*C$94</f>
        <v>1.3418079096045197E-2</v>
      </c>
      <c r="D113" s="331">
        <f>(D$93="Yes")*'Benchmark-Energy'!Q60*D$94</f>
        <v>4.3079096045197739E-2</v>
      </c>
      <c r="E113" s="331">
        <f>(E$93="Yes")*'Benchmark-Energy'!R60*E$94</f>
        <v>0</v>
      </c>
      <c r="F113" s="331">
        <f>(F$93="Yes")*'Benchmark-Energy'!S60*F$94</f>
        <v>0</v>
      </c>
      <c r="G113" s="331">
        <f>(G$93="Yes")*'Benchmark-Energy'!T60*G$94</f>
        <v>4.3079096045197739E-2</v>
      </c>
      <c r="H113" s="331">
        <f>(H$93="Yes")*'Benchmark-Energy'!U60*H$94</f>
        <v>2.6129943502824857E-2</v>
      </c>
      <c r="I113" s="331">
        <f>(I$93="Yes")*'Benchmark-Energy'!V60*I$94</f>
        <v>2.6129943502824857E-2</v>
      </c>
      <c r="J113" s="331">
        <f>(J$93="Yes")*'Benchmark-Energy'!W60*J$94</f>
        <v>2.6129943502824857E-2</v>
      </c>
      <c r="K113" s="331">
        <f>(K$93="Yes")*'Benchmark-Energy'!X60*K$94</f>
        <v>0.15324858757062146</v>
      </c>
      <c r="L113" s="331">
        <f>(L$93="Yes")*'Benchmark-Energy'!Y60*L$94</f>
        <v>4.3079096045197739E-2</v>
      </c>
      <c r="M113" s="331">
        <f>(M$93="Yes")*'Benchmark-Energy'!Z60*M$94</f>
        <v>1.7655367231638415E-2</v>
      </c>
      <c r="N113" s="331">
        <f>(N$93="Yes")*'Benchmark-Energy'!AA60*N$94</f>
        <v>0.5557909604519774</v>
      </c>
      <c r="O113" s="97">
        <f>SUM(C113:N113)*C86</f>
        <v>243.56920903954801</v>
      </c>
    </row>
    <row r="114" spans="1:15" s="253" customFormat="1" x14ac:dyDescent="0.25">
      <c r="A114" s="668"/>
      <c r="B114" s="326" t="s">
        <v>67</v>
      </c>
      <c r="C114" s="331">
        <f>(C$93="Yes")*'Benchmark-Water'!P43*C$94</f>
        <v>0.25789254793012767</v>
      </c>
      <c r="D114" s="331">
        <f>(D$93="Yes")*'Benchmark-Water'!Q43*D$94</f>
        <v>0.21575880107802656</v>
      </c>
      <c r="E114" s="331">
        <f>(E$93="Yes")*'Benchmark-Water'!R43*E$94</f>
        <v>0</v>
      </c>
      <c r="F114" s="331">
        <f>(F$93="Yes")*'Benchmark-Water'!S43*F$94</f>
        <v>0</v>
      </c>
      <c r="G114" s="331">
        <f>(G$93="Yes")*'Benchmark-Water'!T43*G$94</f>
        <v>6.1295314788106146E-2</v>
      </c>
      <c r="H114" s="331">
        <f>(H$93="Yes")*'Benchmark-Water'!U43*H$94</f>
        <v>0.16109901567622859</v>
      </c>
      <c r="I114" s="331">
        <f>(I$93="Yes")*'Benchmark-Water'!V43*I$94</f>
        <v>8.0856565520356111E-2</v>
      </c>
      <c r="J114" s="331">
        <f>(J$93="Yes")*'Benchmark-Water'!W43*J$94</f>
        <v>9.1409524469231347E-3</v>
      </c>
      <c r="K114" s="331">
        <f>(K$93="Yes")*'Benchmark-Water'!X43*K$94</f>
        <v>2.0545410675326507E-2</v>
      </c>
      <c r="L114" s="331">
        <f>(L$93="Yes")*'Benchmark-Water'!Y43*L$94</f>
        <v>8.2357881200644648E-2</v>
      </c>
      <c r="M114" s="331">
        <f>(M$93="Yes")*'Benchmark-Water'!Z43*M$94</f>
        <v>8.1379218199747281E-3</v>
      </c>
      <c r="N114" s="331">
        <f>(N$93="Yes")*'Benchmark-Water'!AA43*N$94</f>
        <v>4.0504643398221747E-2</v>
      </c>
      <c r="O114" s="152">
        <f>SUM(C114:N114)*C87</f>
        <v>7.3131946253647007</v>
      </c>
    </row>
    <row r="115" spans="1:15" s="253" customFormat="1" x14ac:dyDescent="0.25">
      <c r="A115" s="668" t="s">
        <v>705</v>
      </c>
      <c r="B115" s="326" t="s">
        <v>84</v>
      </c>
      <c r="C115" s="331">
        <f>C112</f>
        <v>4.8469741033097908E-3</v>
      </c>
      <c r="D115" s="331">
        <f t="shared" ref="D115:M115" si="21">D112</f>
        <v>6.159811660434842E-2</v>
      </c>
      <c r="E115" s="331">
        <f>E112*$E$106</f>
        <v>0</v>
      </c>
      <c r="F115" s="331">
        <f t="shared" si="21"/>
        <v>0</v>
      </c>
      <c r="G115" s="331">
        <f>G112*$E$103</f>
        <v>1.0473307727744192</v>
      </c>
      <c r="H115" s="331">
        <f>H112*$I$106</f>
        <v>6.6799729838251075E-3</v>
      </c>
      <c r="I115" s="331">
        <f t="shared" si="21"/>
        <v>4.431519180168951E-3</v>
      </c>
      <c r="J115" s="331">
        <f t="shared" si="21"/>
        <v>3.6006093338872723E-3</v>
      </c>
      <c r="K115" s="331">
        <f>IF($N$93="Yes",K112*$M$104,K112)</f>
        <v>2.0945852375017309E-3</v>
      </c>
      <c r="L115" s="331">
        <f>L112*$I$103</f>
        <v>4.4603641425957921E-2</v>
      </c>
      <c r="M115" s="331">
        <f t="shared" si="21"/>
        <v>1.8556986566957484E-3</v>
      </c>
      <c r="N115" s="331">
        <f>N112*$M$103</f>
        <v>8.5186480951027319E-4</v>
      </c>
      <c r="O115" s="97">
        <f>SUM(C115:N115)*C85</f>
        <v>2749.2040244258633</v>
      </c>
    </row>
    <row r="116" spans="1:15" s="253" customFormat="1" x14ac:dyDescent="0.25">
      <c r="A116" s="668"/>
      <c r="B116" s="326" t="s">
        <v>85</v>
      </c>
      <c r="C116" s="331">
        <f t="shared" ref="C116:M116" si="22">C113</f>
        <v>1.3418079096045197E-2</v>
      </c>
      <c r="D116" s="331">
        <f t="shared" si="22"/>
        <v>4.3079096045197739E-2</v>
      </c>
      <c r="E116" s="331">
        <f t="shared" ref="E116:E117" si="23">E113*$E$106</f>
        <v>0</v>
      </c>
      <c r="F116" s="331">
        <f t="shared" si="22"/>
        <v>0</v>
      </c>
      <c r="G116" s="331">
        <f t="shared" ref="G116:G117" si="24">G113*$E$103</f>
        <v>5.8464487489911218E-2</v>
      </c>
      <c r="H116" s="331">
        <f t="shared" ref="H116:H117" si="25">H113*$I$106</f>
        <v>2.2507253101032097E-2</v>
      </c>
      <c r="I116" s="331">
        <f t="shared" si="22"/>
        <v>2.6129943502824857E-2</v>
      </c>
      <c r="J116" s="331">
        <f t="shared" si="22"/>
        <v>2.6129943502824857E-2</v>
      </c>
      <c r="K116" s="331">
        <f>IF($N$93="Yes",K113*$M$104,K113)</f>
        <v>0.21071680790960451</v>
      </c>
      <c r="L116" s="331">
        <f t="shared" ref="L116:L117" si="26">L113*$I$103</f>
        <v>5.299862473981564E-2</v>
      </c>
      <c r="M116" s="331">
        <f t="shared" si="22"/>
        <v>1.7655367231638415E-2</v>
      </c>
      <c r="N116" s="331">
        <f t="shared" ref="N116:N117" si="27">N113*$M$103</f>
        <v>0.68376914213499862</v>
      </c>
      <c r="O116" s="97">
        <f>SUM(C116:N116)*C86</f>
        <v>296.80126740175058</v>
      </c>
    </row>
    <row r="117" spans="1:15" s="253" customFormat="1" x14ac:dyDescent="0.25">
      <c r="A117" s="668"/>
      <c r="B117" s="326" t="s">
        <v>67</v>
      </c>
      <c r="C117" s="331">
        <f t="shared" ref="C117:M117" si="28">C114</f>
        <v>0.25789254793012767</v>
      </c>
      <c r="D117" s="331">
        <f t="shared" si="28"/>
        <v>0.21575880107802656</v>
      </c>
      <c r="E117" s="331">
        <f t="shared" si="23"/>
        <v>0</v>
      </c>
      <c r="F117" s="331">
        <f t="shared" si="28"/>
        <v>0</v>
      </c>
      <c r="G117" s="331">
        <f t="shared" si="24"/>
        <v>8.3186498641001208E-2</v>
      </c>
      <c r="H117" s="331">
        <f t="shared" si="25"/>
        <v>0.138764032144196</v>
      </c>
      <c r="I117" s="331">
        <f t="shared" si="28"/>
        <v>8.0856565520356111E-2</v>
      </c>
      <c r="J117" s="331">
        <f t="shared" si="28"/>
        <v>9.1409524469231347E-3</v>
      </c>
      <c r="K117" s="331">
        <f>IF($N$93="Yes",K114*$M$104,K114)</f>
        <v>2.8249939678573945E-2</v>
      </c>
      <c r="L117" s="331">
        <f t="shared" si="26"/>
        <v>0.10132186700342467</v>
      </c>
      <c r="M117" s="331">
        <f t="shared" si="28"/>
        <v>8.1379218199747281E-3</v>
      </c>
      <c r="N117" s="331">
        <f t="shared" si="27"/>
        <v>4.9831370496496497E-2</v>
      </c>
      <c r="O117" s="152">
        <f>SUM(C117:N117)*C87</f>
        <v>7.5904958747209852</v>
      </c>
    </row>
    <row r="118" spans="1:15" s="253" customFormat="1" x14ac:dyDescent="0.25"/>
    <row r="119" spans="1:15" s="148" customFormat="1" x14ac:dyDescent="0.25"/>
    <row r="120" spans="1:15" s="148" customFormat="1" ht="13" x14ac:dyDescent="0.3">
      <c r="A120" s="177" t="str">
        <f>B77</f>
        <v>5) Modify the benchmark plant based on the user's plant facilities and throughputs</v>
      </c>
    </row>
    <row r="121" spans="1:15" s="148" customFormat="1" x14ac:dyDescent="0.25"/>
    <row r="122" spans="1:15" s="156" customFormat="1" x14ac:dyDescent="0.25">
      <c r="B122" s="156" t="s">
        <v>434</v>
      </c>
    </row>
    <row r="123" spans="1:15" s="148" customFormat="1" x14ac:dyDescent="0.25">
      <c r="C123" s="156" t="s">
        <v>84</v>
      </c>
      <c r="D123" s="237">
        <f>SUM(C115:N115)*C85</f>
        <v>2749.2040244258633</v>
      </c>
      <c r="E123" s="156">
        <f>F85</f>
        <v>0</v>
      </c>
    </row>
    <row r="124" spans="1:15" s="148" customFormat="1" x14ac:dyDescent="0.25">
      <c r="C124" s="156" t="s">
        <v>72</v>
      </c>
      <c r="D124" s="237">
        <f>SUM(C116:N116)*C86</f>
        <v>296.80126740175058</v>
      </c>
      <c r="E124" s="156">
        <f>F86</f>
        <v>0</v>
      </c>
    </row>
    <row r="125" spans="1:15" s="148" customFormat="1" x14ac:dyDescent="0.25">
      <c r="C125" s="156" t="s">
        <v>67</v>
      </c>
      <c r="D125" s="238">
        <f>SUM(C117:N117)*C87</f>
        <v>7.5904958747209852</v>
      </c>
      <c r="E125" s="148">
        <f>F87</f>
        <v>0</v>
      </c>
    </row>
    <row r="126" spans="1:15" s="148" customFormat="1" x14ac:dyDescent="0.25"/>
    <row r="127" spans="1:15" s="148" customFormat="1" x14ac:dyDescent="0.25">
      <c r="B127" s="148" t="s">
        <v>417</v>
      </c>
    </row>
    <row r="128" spans="1:15" s="148" customFormat="1" x14ac:dyDescent="0.25"/>
    <row r="129" spans="1:10" s="148" customFormat="1" ht="19.5" thickBot="1" x14ac:dyDescent="0.45">
      <c r="B129" s="5" t="s">
        <v>418</v>
      </c>
    </row>
    <row r="130" spans="1:10" s="148" customFormat="1" ht="13" thickTop="1" x14ac:dyDescent="0.25"/>
    <row r="131" spans="1:10" s="148" customFormat="1" x14ac:dyDescent="0.25">
      <c r="B131" s="156" t="s">
        <v>86</v>
      </c>
    </row>
    <row r="132" spans="1:10" s="148" customFormat="1" x14ac:dyDescent="0.25">
      <c r="B132" s="156"/>
    </row>
    <row r="133" spans="1:10" s="148" customFormat="1" x14ac:dyDescent="0.25">
      <c r="B133" s="253" t="s">
        <v>688</v>
      </c>
    </row>
    <row r="134" spans="1:10" s="253" customFormat="1" x14ac:dyDescent="0.25">
      <c r="B134" s="253" t="s">
        <v>690</v>
      </c>
    </row>
    <row r="135" spans="1:10" s="253" customFormat="1" x14ac:dyDescent="0.25">
      <c r="B135" s="253" t="s">
        <v>689</v>
      </c>
    </row>
    <row r="136" spans="1:10" s="148" customFormat="1" x14ac:dyDescent="0.25">
      <c r="B136" s="253" t="s">
        <v>691</v>
      </c>
    </row>
    <row r="137" spans="1:10" s="148" customFormat="1" x14ac:dyDescent="0.25"/>
    <row r="138" spans="1:10" s="156" customFormat="1" ht="13" x14ac:dyDescent="0.3">
      <c r="A138" s="177" t="str">
        <f>B133</f>
        <v>1) From user input, import production metrics</v>
      </c>
    </row>
    <row r="139" spans="1:10" s="156" customFormat="1" x14ac:dyDescent="0.25"/>
    <row r="140" spans="1:10" s="156" customFormat="1" x14ac:dyDescent="0.25">
      <c r="C140" s="156" t="s">
        <v>427</v>
      </c>
      <c r="I140" s="16">
        <f>H59</f>
        <v>40000</v>
      </c>
      <c r="J140" s="156" t="s">
        <v>343</v>
      </c>
    </row>
    <row r="141" spans="1:10" s="156" customFormat="1" x14ac:dyDescent="0.25">
      <c r="C141" s="156" t="s">
        <v>428</v>
      </c>
      <c r="I141" s="16">
        <f>I59</f>
        <v>45000</v>
      </c>
      <c r="J141" s="156" t="s">
        <v>343</v>
      </c>
    </row>
    <row r="142" spans="1:10" s="156" customFormat="1" x14ac:dyDescent="0.25">
      <c r="C142" s="156" t="s">
        <v>429</v>
      </c>
      <c r="I142" s="15">
        <f>MIN(I140/I141,1)</f>
        <v>0.88888888888888884</v>
      </c>
    </row>
    <row r="143" spans="1:10" s="156" customFormat="1" x14ac:dyDescent="0.25"/>
    <row r="144" spans="1:10" s="156" customFormat="1" ht="13" x14ac:dyDescent="0.3">
      <c r="A144" s="177" t="str">
        <f>B134</f>
        <v>2) Calculate predominant species based on production rates calculated earlier, and calculate adjustment factor</v>
      </c>
    </row>
    <row r="145" spans="1:8" s="156" customFormat="1" x14ac:dyDescent="0.25"/>
    <row r="146" spans="1:8" s="253" customFormat="1" x14ac:dyDescent="0.25">
      <c r="F146" s="253" t="s">
        <v>548</v>
      </c>
      <c r="G146" s="253" t="s">
        <v>67</v>
      </c>
      <c r="H146" s="253" t="s">
        <v>684</v>
      </c>
    </row>
    <row r="147" spans="1:8" s="156" customFormat="1" x14ac:dyDescent="0.25">
      <c r="D147" s="156" t="str">
        <f>'Benchmark-Adjustments'!E35</f>
        <v>Large body (cattle &amp; calves)</v>
      </c>
      <c r="F147" s="16">
        <f>'Benchmark-Adjustments'!H35</f>
        <v>1</v>
      </c>
      <c r="G147" s="16">
        <f>'Benchmark-Adjustments'!I35</f>
        <v>1</v>
      </c>
      <c r="H147" s="156">
        <v>0</v>
      </c>
    </row>
    <row r="148" spans="1:8" s="253" customFormat="1" x14ac:dyDescent="0.25">
      <c r="D148" s="253" t="str">
        <f>'Benchmark-Adjustments'!E36</f>
        <v>Small body (all else)</v>
      </c>
      <c r="F148" s="16">
        <f>'Benchmark-Adjustments'!H36</f>
        <v>0.5</v>
      </c>
      <c r="G148" s="16">
        <f>'Benchmark-Adjustments'!I36</f>
        <v>1.1599999999999999</v>
      </c>
      <c r="H148" s="253">
        <v>1</v>
      </c>
    </row>
    <row r="149" spans="1:8" s="253" customFormat="1" x14ac:dyDescent="0.25"/>
    <row r="150" spans="1:8" s="253" customFormat="1" x14ac:dyDescent="0.25">
      <c r="C150" s="253" t="s">
        <v>681</v>
      </c>
    </row>
    <row r="151" spans="1:8" s="253" customFormat="1" x14ac:dyDescent="0.25">
      <c r="D151" s="356">
        <f>SUMIF($B$52:$B$58,"Small",$H$52:$H$58)/SUM($H$52:$H$58)</f>
        <v>0</v>
      </c>
      <c r="F151" s="253" t="s">
        <v>706</v>
      </c>
    </row>
    <row r="152" spans="1:8" s="253" customFormat="1" ht="13" x14ac:dyDescent="0.3">
      <c r="A152" s="177"/>
      <c r="D152" s="356"/>
    </row>
    <row r="153" spans="1:8" s="156" customFormat="1" x14ac:dyDescent="0.25">
      <c r="C153" s="253" t="s">
        <v>685</v>
      </c>
    </row>
    <row r="154" spans="1:8" s="253" customFormat="1" x14ac:dyDescent="0.25"/>
    <row r="155" spans="1:8" s="253" customFormat="1" x14ac:dyDescent="0.25">
      <c r="F155" s="253" t="s">
        <v>548</v>
      </c>
      <c r="G155" s="253" t="s">
        <v>67</v>
      </c>
    </row>
    <row r="156" spans="1:8" s="253" customFormat="1" ht="13" x14ac:dyDescent="0.3">
      <c r="C156" s="156" t="s">
        <v>430</v>
      </c>
      <c r="F156" s="357">
        <f>TREND($F147:$F148,$H$147:$H$148,$D$151,TRUE)</f>
        <v>1</v>
      </c>
      <c r="G156" s="357">
        <f>TREND($G147:$G148,$H$147:$H$148,$D$151,TRUE)</f>
        <v>1</v>
      </c>
    </row>
    <row r="157" spans="1:8" s="253" customFormat="1" x14ac:dyDescent="0.25"/>
    <row r="158" spans="1:8" s="253" customFormat="1" ht="13" x14ac:dyDescent="0.3">
      <c r="A158" s="177" t="str">
        <f>B135</f>
        <v>3) Calculate adjustment factor to allow for performance degradation when not at full capacity, and calculate adjustment factor</v>
      </c>
      <c r="D158" s="356"/>
    </row>
    <row r="159" spans="1:8" s="253" customFormat="1" x14ac:dyDescent="0.25">
      <c r="D159" s="356"/>
    </row>
    <row r="160" spans="1:8" s="156" customFormat="1" x14ac:dyDescent="0.25">
      <c r="C160" s="156" t="s">
        <v>680</v>
      </c>
    </row>
    <row r="161" spans="1:14" s="156" customFormat="1" x14ac:dyDescent="0.25">
      <c r="D161" s="156" t="s">
        <v>432</v>
      </c>
      <c r="F161" s="239">
        <f>INDEX('Benchmark-Adjustments'!$D$51:$D$53,MATCH(Calculations!$I$142,'Benchmark-Adjustments'!$D$51:$D$53,1))</f>
        <v>0.5</v>
      </c>
      <c r="G161" s="16">
        <f>INDEX('Benchmark-Adjustments'!$G$51:$G$53,MATCH(Calculations!$I$142,'Benchmark-Adjustments'!$D$51:$D$53,1))</f>
        <v>1.25</v>
      </c>
    </row>
    <row r="162" spans="1:14" s="156" customFormat="1" x14ac:dyDescent="0.25">
      <c r="D162" s="156" t="s">
        <v>433</v>
      </c>
      <c r="F162" s="239">
        <f>IFERROR(INDEX('Benchmark-Adjustments'!$D$51:$D$53,MATCH(Calculations!$I$142,'Benchmark-Adjustments'!$D$51:$D$53,1)+1),INDEX('Benchmark-Adjustments'!$D$51:$D$53,MATCH(Calculations!$I$142,'Benchmark-Adjustments'!$D$51:$D$53,1)))</f>
        <v>1</v>
      </c>
      <c r="G162" s="16">
        <f>IFERROR(INDEX('Benchmark-Adjustments'!$G$51:$G$53,MATCH(Calculations!$I$142,'Benchmark-Adjustments'!$D$51:$D$53,1)+1),INDEX('Benchmark-Adjustments'!$G$51:$G$53,MATCH(Calculations!$I$142,'Benchmark-Adjustments'!$D$51:$D$53,1)))</f>
        <v>1</v>
      </c>
    </row>
    <row r="163" spans="1:14" s="156" customFormat="1" x14ac:dyDescent="0.25"/>
    <row r="164" spans="1:14" s="156" customFormat="1" ht="13" x14ac:dyDescent="0.3">
      <c r="C164" s="156" t="s">
        <v>431</v>
      </c>
      <c r="F164" s="358">
        <f>TREND(G161:G162,F161:F162,I142,TRUE)</f>
        <v>1.0555555555555556</v>
      </c>
    </row>
    <row r="165" spans="1:14" s="253" customFormat="1" ht="13" x14ac:dyDescent="0.3">
      <c r="F165" s="358"/>
    </row>
    <row r="166" spans="1:14" s="156" customFormat="1" ht="13" x14ac:dyDescent="0.3">
      <c r="A166" s="177" t="str">
        <f>B136</f>
        <v>4) Apply benchmark adjustments for species mix and production to calculate adjusted best-practice benchmarks</v>
      </c>
    </row>
    <row r="167" spans="1:14" s="253" customFormat="1" ht="13" x14ac:dyDescent="0.3">
      <c r="A167" s="177"/>
    </row>
    <row r="168" spans="1:14" s="156" customFormat="1" x14ac:dyDescent="0.25">
      <c r="B168" s="156" t="s">
        <v>435</v>
      </c>
    </row>
    <row r="169" spans="1:14" s="156" customFormat="1" x14ac:dyDescent="0.25">
      <c r="C169" s="156" t="str">
        <f>C123</f>
        <v>Thermal</v>
      </c>
      <c r="D169" s="107">
        <f>D123*$F$156*$F$164</f>
        <v>2901.9375813384113</v>
      </c>
      <c r="E169" s="156">
        <f>E123</f>
        <v>0</v>
      </c>
    </row>
    <row r="170" spans="1:14" s="156" customFormat="1" x14ac:dyDescent="0.25">
      <c r="C170" s="156" t="str">
        <f>C124</f>
        <v>Electricity</v>
      </c>
      <c r="D170" s="107">
        <f>D124*$G$156*$F$164</f>
        <v>313.29022670184781</v>
      </c>
      <c r="E170" s="156">
        <f>E124</f>
        <v>0</v>
      </c>
    </row>
    <row r="171" spans="1:14" s="156" customFormat="1" x14ac:dyDescent="0.25">
      <c r="C171" s="156" t="str">
        <f>C125</f>
        <v>Water</v>
      </c>
      <c r="D171" s="192">
        <f>D125*$G$156*$F$164</f>
        <v>8.0121900899832621</v>
      </c>
      <c r="E171" s="156">
        <f>E125</f>
        <v>0</v>
      </c>
    </row>
    <row r="172" spans="1:14" s="156" customFormat="1" x14ac:dyDescent="0.25"/>
    <row r="173" spans="1:14" ht="41.25" customHeight="1" thickBot="1" x14ac:dyDescent="0.45">
      <c r="B173" s="675" t="s">
        <v>438</v>
      </c>
      <c r="C173" s="675"/>
      <c r="D173" s="675"/>
      <c r="E173" s="675"/>
      <c r="F173" s="675"/>
      <c r="G173" s="675"/>
      <c r="H173" s="675"/>
      <c r="I173" s="675"/>
      <c r="J173" s="675"/>
      <c r="K173" s="675"/>
      <c r="L173" s="675"/>
      <c r="M173" s="675"/>
      <c r="N173" s="675"/>
    </row>
    <row r="174" spans="1:14" s="156" customFormat="1" ht="13" thickTop="1" x14ac:dyDescent="0.25"/>
    <row r="175" spans="1:14" s="156" customFormat="1" x14ac:dyDescent="0.25">
      <c r="B175" s="156" t="s">
        <v>86</v>
      </c>
    </row>
    <row r="176" spans="1:14" s="156" customFormat="1" x14ac:dyDescent="0.25"/>
    <row r="177" spans="1:15" s="156" customFormat="1" x14ac:dyDescent="0.25">
      <c r="B177" s="253" t="s">
        <v>446</v>
      </c>
    </row>
    <row r="178" spans="1:15" s="156" customFormat="1" x14ac:dyDescent="0.25">
      <c r="B178" s="253" t="s">
        <v>442</v>
      </c>
    </row>
    <row r="179" spans="1:15" s="203" customFormat="1" x14ac:dyDescent="0.25">
      <c r="B179" s="253" t="s">
        <v>471</v>
      </c>
    </row>
    <row r="180" spans="1:15" s="156" customFormat="1" x14ac:dyDescent="0.25"/>
    <row r="181" spans="1:15" s="156" customFormat="1" ht="13" x14ac:dyDescent="0.3">
      <c r="A181" s="177" t="str">
        <f>B177</f>
        <v>1) Import best-practice benchmarks,  dial gauge range, performance bands and user's site performance</v>
      </c>
    </row>
    <row r="182" spans="1:15" s="156" customFormat="1" x14ac:dyDescent="0.25"/>
    <row r="183" spans="1:15" s="156" customFormat="1" ht="40.5" customHeight="1" x14ac:dyDescent="0.25">
      <c r="C183" s="669" t="s">
        <v>443</v>
      </c>
      <c r="D183" s="669"/>
      <c r="E183" s="669"/>
      <c r="F183" s="154" t="s">
        <v>445</v>
      </c>
      <c r="G183" s="154" t="s">
        <v>447</v>
      </c>
      <c r="H183" s="669" t="s">
        <v>444</v>
      </c>
      <c r="I183" s="669"/>
    </row>
    <row r="184" spans="1:15" s="156" customFormat="1" x14ac:dyDescent="0.25">
      <c r="B184" s="199" t="s">
        <v>84</v>
      </c>
      <c r="C184" s="670">
        <f>D169</f>
        <v>2901.9375813384113</v>
      </c>
      <c r="D184" s="670"/>
      <c r="E184" s="670"/>
      <c r="F184" s="240">
        <f>'Benchmark-Energy'!U128</f>
        <v>2.9537003932785124</v>
      </c>
      <c r="G184" s="198">
        <f>C184*F184</f>
        <v>8571.4541752689602</v>
      </c>
      <c r="H184" s="673">
        <f>F64</f>
        <v>4875</v>
      </c>
      <c r="I184" s="673"/>
      <c r="K184" s="203"/>
    </row>
    <row r="185" spans="1:15" s="156" customFormat="1" x14ac:dyDescent="0.25">
      <c r="B185" s="199" t="s">
        <v>72</v>
      </c>
      <c r="C185" s="670">
        <f>D170</f>
        <v>313.29022670184781</v>
      </c>
      <c r="D185" s="670"/>
      <c r="E185" s="670"/>
      <c r="F185" s="240">
        <f>'Benchmark-Energy'!U128</f>
        <v>2.9537003932785124</v>
      </c>
      <c r="G185" s="198">
        <f>C185*F185</f>
        <v>925.36546581956225</v>
      </c>
      <c r="H185" s="673">
        <f>F65</f>
        <v>350</v>
      </c>
      <c r="I185" s="673"/>
      <c r="K185" s="203"/>
    </row>
    <row r="186" spans="1:15" s="156" customFormat="1" x14ac:dyDescent="0.25">
      <c r="B186" s="199" t="s">
        <v>67</v>
      </c>
      <c r="C186" s="672">
        <f>D171</f>
        <v>8.0121900899832621</v>
      </c>
      <c r="D186" s="672"/>
      <c r="E186" s="672"/>
      <c r="F186" s="240">
        <f>'Benchmark-Water'!U107</f>
        <v>3.2943262411347516</v>
      </c>
      <c r="G186" s="197">
        <f>C186*F186</f>
        <v>26.394768062391666</v>
      </c>
      <c r="H186" s="674">
        <f>F67</f>
        <v>15</v>
      </c>
      <c r="I186" s="674"/>
      <c r="K186" s="203"/>
    </row>
    <row r="187" spans="1:15" s="156" customFormat="1" x14ac:dyDescent="0.25">
      <c r="I187" s="192"/>
      <c r="K187" s="152"/>
      <c r="M187" s="152"/>
      <c r="O187" s="196"/>
    </row>
    <row r="188" spans="1:15" s="156" customFormat="1" x14ac:dyDescent="0.25">
      <c r="C188" s="671" t="s">
        <v>449</v>
      </c>
      <c r="D188" s="671"/>
      <c r="E188" s="671" t="s">
        <v>67</v>
      </c>
      <c r="F188" s="671"/>
    </row>
    <row r="189" spans="1:15" s="156" customFormat="1" x14ac:dyDescent="0.25">
      <c r="C189" s="153" t="s">
        <v>440</v>
      </c>
      <c r="D189" s="153" t="s">
        <v>441</v>
      </c>
      <c r="E189" s="153" t="s">
        <v>440</v>
      </c>
      <c r="F189" s="153" t="s">
        <v>441</v>
      </c>
    </row>
    <row r="190" spans="1:15" s="156" customFormat="1" x14ac:dyDescent="0.25">
      <c r="B190" s="14" t="str">
        <f t="array" ref="B190:B192">Performance_Descriptor_List</f>
        <v>Good</v>
      </c>
      <c r="C190" s="241">
        <f>'Benchmark-Energy'!N142</f>
        <v>0</v>
      </c>
      <c r="D190" s="241">
        <f>'Benchmark-Energy'!O142</f>
        <v>0.25</v>
      </c>
      <c r="E190" s="241">
        <f>'Benchmark-Water'!N120</f>
        <v>0</v>
      </c>
      <c r="F190" s="241">
        <f>'Benchmark-Water'!O120</f>
        <v>0.25</v>
      </c>
    </row>
    <row r="191" spans="1:15" s="156" customFormat="1" x14ac:dyDescent="0.25">
      <c r="B191" s="14" t="str">
        <v>Fair</v>
      </c>
      <c r="C191" s="241">
        <f>'Benchmark-Energy'!N143</f>
        <v>0.25</v>
      </c>
      <c r="D191" s="241">
        <f>'Benchmark-Energy'!O143</f>
        <v>0.75</v>
      </c>
      <c r="E191" s="241">
        <f>'Benchmark-Water'!N121</f>
        <v>0.25</v>
      </c>
      <c r="F191" s="241">
        <f>'Benchmark-Water'!O121</f>
        <v>0.75</v>
      </c>
    </row>
    <row r="192" spans="1:15" s="156" customFormat="1" x14ac:dyDescent="0.25">
      <c r="B192" s="14" t="str">
        <v>Poor</v>
      </c>
      <c r="C192" s="241">
        <f>'Benchmark-Energy'!N144</f>
        <v>0.75</v>
      </c>
      <c r="D192" s="241">
        <f>'Benchmark-Energy'!O144</f>
        <v>1</v>
      </c>
      <c r="E192" s="241">
        <f>'Benchmark-Water'!N122</f>
        <v>0.75</v>
      </c>
      <c r="F192" s="241">
        <f>'Benchmark-Water'!O122</f>
        <v>1</v>
      </c>
    </row>
    <row r="193" spans="1:12" s="156" customFormat="1" x14ac:dyDescent="0.25"/>
    <row r="194" spans="1:12" s="156" customFormat="1" ht="13" x14ac:dyDescent="0.3">
      <c r="A194" s="177" t="str">
        <f>B178</f>
        <v>2) Calculate user's site performance against benchmark</v>
      </c>
    </row>
    <row r="195" spans="1:12" s="156" customFormat="1" x14ac:dyDescent="0.25"/>
    <row r="196" spans="1:12" s="156" customFormat="1" x14ac:dyDescent="0.25">
      <c r="C196" s="156" t="s">
        <v>450</v>
      </c>
      <c r="D196" s="156" t="s">
        <v>451</v>
      </c>
      <c r="E196" s="156" t="s">
        <v>452</v>
      </c>
      <c r="F196" s="156" t="s">
        <v>453</v>
      </c>
      <c r="G196" s="156" t="s">
        <v>454</v>
      </c>
    </row>
    <row r="197" spans="1:12" s="156" customFormat="1" x14ac:dyDescent="0.25">
      <c r="B197" s="156" t="s">
        <v>84</v>
      </c>
      <c r="C197" s="107">
        <f>MIN(C184,H184)</f>
        <v>2901.9375813384113</v>
      </c>
      <c r="D197" s="103">
        <f>MAX(G184,H184)</f>
        <v>8571.4541752689602</v>
      </c>
      <c r="E197" s="103">
        <f>H184</f>
        <v>4875</v>
      </c>
      <c r="F197" s="15">
        <f t="shared" ref="F197:F199" si="29">(E197-C197)/(D197-C197)</f>
        <v>0.34801246031695776</v>
      </c>
      <c r="G197" s="17" t="str">
        <f>INDEX($B$190:$B$192,MATCH(F197,$C$190:$C$192,1))</f>
        <v>Fair</v>
      </c>
      <c r="H197" s="15"/>
    </row>
    <row r="198" spans="1:12" s="156" customFormat="1" x14ac:dyDescent="0.25">
      <c r="B198" s="156" t="s">
        <v>72</v>
      </c>
      <c r="C198" s="107">
        <f t="shared" ref="C198:C199" si="30">MIN(C185,H185)</f>
        <v>313.29022670184781</v>
      </c>
      <c r="D198" s="103">
        <f t="shared" ref="D198:D199" si="31">MAX(G185,H185)</f>
        <v>925.36546581956225</v>
      </c>
      <c r="E198" s="103">
        <f t="shared" ref="E198:E199" si="32">H185</f>
        <v>350</v>
      </c>
      <c r="F198" s="15">
        <f t="shared" si="29"/>
        <v>5.9975916279619595E-2</v>
      </c>
      <c r="G198" s="17" t="str">
        <f>INDEX($B$190:$B$192,MATCH(F198,$C$190:$C$192,1))</f>
        <v>Good</v>
      </c>
    </row>
    <row r="199" spans="1:12" s="156" customFormat="1" x14ac:dyDescent="0.25">
      <c r="B199" s="156" t="s">
        <v>67</v>
      </c>
      <c r="C199" s="107">
        <f t="shared" si="30"/>
        <v>8.0121900899832621</v>
      </c>
      <c r="D199" s="103">
        <f t="shared" si="31"/>
        <v>26.394768062391666</v>
      </c>
      <c r="E199" s="103">
        <f t="shared" si="32"/>
        <v>15</v>
      </c>
      <c r="F199" s="15">
        <f t="shared" si="29"/>
        <v>0.38013220564086231</v>
      </c>
      <c r="G199" s="17" t="str">
        <f>INDEX($B$190:$B$192,MATCH(F199,$E$190:$E$192,1))</f>
        <v>Fair</v>
      </c>
    </row>
    <row r="200" spans="1:12" s="156" customFormat="1" x14ac:dyDescent="0.25"/>
    <row r="201" spans="1:12" s="156" customFormat="1" ht="13" x14ac:dyDescent="0.3">
      <c r="A201" s="177" t="str">
        <f>B179</f>
        <v>3) Prepare 'dial gauge' figures, ready for graphing</v>
      </c>
    </row>
    <row r="202" spans="1:12" s="156" customFormat="1" x14ac:dyDescent="0.25"/>
    <row r="203" spans="1:12" s="203" customFormat="1" ht="38" thickBot="1" x14ac:dyDescent="0.3">
      <c r="F203" s="327" t="s">
        <v>478</v>
      </c>
      <c r="G203" s="328" t="s">
        <v>479</v>
      </c>
      <c r="H203" s="327" t="s">
        <v>342</v>
      </c>
      <c r="I203" s="676" t="s">
        <v>480</v>
      </c>
      <c r="J203" s="677"/>
      <c r="K203" s="329" t="s">
        <v>82</v>
      </c>
      <c r="L203" s="325" t="s">
        <v>589</v>
      </c>
    </row>
    <row r="204" spans="1:12" s="203" customFormat="1" ht="15" customHeight="1" x14ac:dyDescent="0.25">
      <c r="B204" s="678" t="s">
        <v>475</v>
      </c>
      <c r="C204" s="683" t="s">
        <v>472</v>
      </c>
      <c r="D204" s="684"/>
      <c r="E204" s="685"/>
      <c r="F204" s="214">
        <f>C184</f>
        <v>2901.9375813384113</v>
      </c>
      <c r="G204" s="214">
        <f>MIN(F204:F205)</f>
        <v>2901.9375813384113</v>
      </c>
      <c r="H204" s="215">
        <f>(G204-MIN(G204:G206))/(MAX(G204:G206)-MIN(G204:G206))</f>
        <v>0</v>
      </c>
      <c r="I204" s="213">
        <v>0</v>
      </c>
      <c r="J204" s="213">
        <v>0</v>
      </c>
      <c r="K204" s="317">
        <v>180</v>
      </c>
      <c r="L204" s="340">
        <f>ROUND(Calculations!$G$204,'Opp Library - PT'!$B$16-(1+INT(LOG10(ABS(Calculations!$G$204)))))</f>
        <v>2900</v>
      </c>
    </row>
    <row r="205" spans="1:12" s="203" customFormat="1" ht="15" customHeight="1" x14ac:dyDescent="0.25">
      <c r="B205" s="679"/>
      <c r="C205" s="686" t="s">
        <v>473</v>
      </c>
      <c r="D205" s="687"/>
      <c r="E205" s="688"/>
      <c r="F205" s="330">
        <f>F64</f>
        <v>4875</v>
      </c>
      <c r="G205" s="330">
        <f>F205</f>
        <v>4875</v>
      </c>
      <c r="H205" s="331">
        <f>(G205-MIN(G204:G206))/(MAX(G204:G206)-MIN(G204:G206))</f>
        <v>0.34801246031695776</v>
      </c>
      <c r="I205" s="326">
        <f>-COS(RADIANS((H205-H204)*180/(H206-H204)))</f>
        <v>-0.45954509395474491</v>
      </c>
      <c r="J205" s="326">
        <f>SIN(RADIANS((H205-H204)*180/(H206-H204)))</f>
        <v>0.88815443849711451</v>
      </c>
      <c r="K205" s="316">
        <v>0</v>
      </c>
      <c r="L205" s="342">
        <f>G205</f>
        <v>4875</v>
      </c>
    </row>
    <row r="206" spans="1:12" s="203" customFormat="1" ht="15" customHeight="1" thickBot="1" x14ac:dyDescent="0.3">
      <c r="B206" s="680"/>
      <c r="C206" s="689" t="s">
        <v>474</v>
      </c>
      <c r="D206" s="690"/>
      <c r="E206" s="691"/>
      <c r="F206" s="333">
        <f>G184</f>
        <v>8571.4541752689602</v>
      </c>
      <c r="G206" s="333">
        <f>MAX(F205:F206)</f>
        <v>8571.4541752689602</v>
      </c>
      <c r="H206" s="334">
        <f>(G206-MIN(G204:G206))/(MAX(G204:G206)-MIN(G204:G206))</f>
        <v>1</v>
      </c>
      <c r="I206" s="335">
        <v>0</v>
      </c>
      <c r="J206" s="335">
        <v>0</v>
      </c>
      <c r="K206" s="336">
        <f>K204-K205</f>
        <v>180</v>
      </c>
      <c r="L206" s="339">
        <f>ROUND(Calculations!$G$206,'Opp Library - PT'!$B$16-(1+INT(LOG10(ABS(Calculations!$G$206)))))</f>
        <v>8600</v>
      </c>
    </row>
    <row r="207" spans="1:12" s="203" customFormat="1" ht="15" customHeight="1" x14ac:dyDescent="0.25">
      <c r="B207" s="678" t="s">
        <v>476</v>
      </c>
      <c r="C207" s="683" t="str">
        <f>C204</f>
        <v>Best practice / minimum value</v>
      </c>
      <c r="D207" s="684"/>
      <c r="E207" s="685"/>
      <c r="F207" s="214">
        <f>C185</f>
        <v>313.29022670184781</v>
      </c>
      <c r="G207" s="214">
        <f>MIN(F207:F208)</f>
        <v>313.29022670184781</v>
      </c>
      <c r="H207" s="215">
        <f>(G207-MIN(G207:G209))/(MAX(G207:G209)-MIN(G207:G209))</f>
        <v>0</v>
      </c>
      <c r="I207" s="213">
        <v>0</v>
      </c>
      <c r="J207" s="213">
        <v>0</v>
      </c>
      <c r="K207" s="317">
        <v>180</v>
      </c>
      <c r="L207" s="337">
        <f>ROUND(Calculations!$G$207,'Opp Library - PT'!$B$16-(1+INT(LOG10(ABS(Calculations!$G$207)))))</f>
        <v>310</v>
      </c>
    </row>
    <row r="208" spans="1:12" s="203" customFormat="1" ht="15" customHeight="1" x14ac:dyDescent="0.25">
      <c r="B208" s="679"/>
      <c r="C208" s="686" t="str">
        <f t="shared" ref="C208:C212" si="33">C205</f>
        <v>Actual performance</v>
      </c>
      <c r="D208" s="687"/>
      <c r="E208" s="688"/>
      <c r="F208" s="330">
        <f>F65</f>
        <v>350</v>
      </c>
      <c r="G208" s="330">
        <f>F208</f>
        <v>350</v>
      </c>
      <c r="H208" s="331">
        <f>(G208-MIN(G207:G209))/(MAX(G207:G209)-MIN(G207:G209))</f>
        <v>5.9975916279619595E-2</v>
      </c>
      <c r="I208" s="326">
        <f>-COS(RADIANS((H208-H207)*180/(H209-H207)))</f>
        <v>-0.98230142541949339</v>
      </c>
      <c r="J208" s="326">
        <f>SIN(RADIANS((H208-H207)*180/(H209-H207)))</f>
        <v>0.18730699297898995</v>
      </c>
      <c r="K208" s="316">
        <v>0</v>
      </c>
      <c r="L208" s="341">
        <f>G208</f>
        <v>350</v>
      </c>
    </row>
    <row r="209" spans="2:14" s="203" customFormat="1" ht="15" customHeight="1" thickBot="1" x14ac:dyDescent="0.3">
      <c r="B209" s="681"/>
      <c r="C209" s="692" t="str">
        <f t="shared" si="33"/>
        <v>Worst / maximum value</v>
      </c>
      <c r="D209" s="693"/>
      <c r="E209" s="694"/>
      <c r="F209" s="216">
        <f>G185</f>
        <v>925.36546581956225</v>
      </c>
      <c r="G209" s="216">
        <f>MAX(F208:F209)</f>
        <v>925.36546581956225</v>
      </c>
      <c r="H209" s="210">
        <f>(G209-MIN(G207:G209))/(MAX(G207:G209)-MIN(G207:G209))</f>
        <v>1</v>
      </c>
      <c r="I209" s="208">
        <v>0</v>
      </c>
      <c r="J209" s="208">
        <v>0</v>
      </c>
      <c r="K209" s="324">
        <f>K207-K208</f>
        <v>180</v>
      </c>
      <c r="L209" s="338">
        <f>ROUND(Calculations!$G$209,'Opp Library - PT'!$B$16-(1+INT(LOG10(ABS(Calculations!$G$209)))))</f>
        <v>930</v>
      </c>
    </row>
    <row r="210" spans="2:14" s="203" customFormat="1" ht="15" customHeight="1" x14ac:dyDescent="0.25">
      <c r="B210" s="682" t="s">
        <v>477</v>
      </c>
      <c r="C210" s="695" t="str">
        <f t="shared" si="33"/>
        <v>Best practice / minimum value</v>
      </c>
      <c r="D210" s="696"/>
      <c r="E210" s="697"/>
      <c r="F210" s="211">
        <f>C186</f>
        <v>8.0121900899832621</v>
      </c>
      <c r="G210" s="211">
        <f>MIN(F210:F211)</f>
        <v>8.0121900899832621</v>
      </c>
      <c r="H210" s="212">
        <f>(G210-MIN(G210:G212))/(MAX(G210:G212)-MIN(G210:G212))</f>
        <v>0</v>
      </c>
      <c r="I210" s="202">
        <v>0</v>
      </c>
      <c r="J210" s="202">
        <v>0</v>
      </c>
      <c r="K210" s="323">
        <v>180</v>
      </c>
      <c r="L210" s="346">
        <f>ROUND(Calculations!$G$210,'Opp Library - PT'!$B$16-(1+INT(LOG10(ABS(Calculations!$G$210)))))</f>
        <v>8</v>
      </c>
    </row>
    <row r="211" spans="2:14" s="203" customFormat="1" ht="15" customHeight="1" x14ac:dyDescent="0.25">
      <c r="B211" s="679"/>
      <c r="C211" s="686" t="str">
        <f t="shared" si="33"/>
        <v>Actual performance</v>
      </c>
      <c r="D211" s="687"/>
      <c r="E211" s="688"/>
      <c r="F211" s="332">
        <f>F67</f>
        <v>15</v>
      </c>
      <c r="G211" s="344">
        <f>F211</f>
        <v>15</v>
      </c>
      <c r="H211" s="331">
        <f>(G211-MIN(G210:G212))/(MAX(G210:G212)-MIN(G210:G212))</f>
        <v>0.38013220564086231</v>
      </c>
      <c r="I211" s="326">
        <f>-COS(RADIANS((H211-H210)*180/(H212-H210)))</f>
        <v>-0.36773835104659025</v>
      </c>
      <c r="J211" s="326">
        <f>SIN(RADIANS((H211-H210)*180/(H212-H210)))</f>
        <v>0.92992930116731709</v>
      </c>
      <c r="K211" s="316">
        <v>0</v>
      </c>
      <c r="L211" s="347">
        <f>G211</f>
        <v>15</v>
      </c>
    </row>
    <row r="212" spans="2:14" s="156" customFormat="1" ht="15" customHeight="1" thickBot="1" x14ac:dyDescent="0.3">
      <c r="B212" s="681"/>
      <c r="C212" s="692" t="str">
        <f t="shared" si="33"/>
        <v>Worst / maximum value</v>
      </c>
      <c r="D212" s="693"/>
      <c r="E212" s="694"/>
      <c r="F212" s="209">
        <f>G186</f>
        <v>26.394768062391666</v>
      </c>
      <c r="G212" s="345">
        <f>MAX(F211:F212)</f>
        <v>26.394768062391666</v>
      </c>
      <c r="H212" s="210">
        <f>(G212-MIN(G210:G212))/(MAX(G210:G212)-MIN(G210:G212))</f>
        <v>1</v>
      </c>
      <c r="I212" s="208">
        <v>0</v>
      </c>
      <c r="J212" s="208">
        <v>0</v>
      </c>
      <c r="K212" s="324">
        <f>K210-K211</f>
        <v>180</v>
      </c>
      <c r="L212" s="343">
        <f>ROUND(Calculations!$G$212,'Opp Library - PT'!$B$16-(1+INT(LOG10(ABS(Calculations!$G$212)))))</f>
        <v>26</v>
      </c>
    </row>
    <row r="213" spans="2:14" s="203" customFormat="1" x14ac:dyDescent="0.25">
      <c r="B213" s="4"/>
      <c r="C213" s="4"/>
      <c r="D213" s="4"/>
      <c r="E213" s="4"/>
      <c r="F213" s="4"/>
      <c r="G213" s="4"/>
      <c r="H213" s="4"/>
      <c r="I213" s="4"/>
      <c r="J213" s="4"/>
      <c r="K213" s="4"/>
      <c r="L213" s="4"/>
      <c r="M213" s="4"/>
    </row>
    <row r="214" spans="2:14" s="203" customFormat="1" x14ac:dyDescent="0.25"/>
    <row r="215" spans="2:14" s="203" customFormat="1" x14ac:dyDescent="0.25"/>
    <row r="216" spans="2:14" s="203" customFormat="1" ht="19.5" thickBot="1" x14ac:dyDescent="0.45">
      <c r="B216" s="675" t="s">
        <v>986</v>
      </c>
      <c r="C216" s="675"/>
      <c r="D216" s="675"/>
      <c r="E216" s="675"/>
      <c r="F216" s="675"/>
      <c r="G216" s="675"/>
      <c r="H216" s="675"/>
      <c r="I216" s="675"/>
      <c r="J216" s="675"/>
      <c r="K216" s="675"/>
      <c r="L216" s="675"/>
      <c r="M216" s="675"/>
      <c r="N216" s="675"/>
    </row>
    <row r="217" spans="2:14" s="203" customFormat="1" ht="13" thickTop="1" x14ac:dyDescent="0.25"/>
    <row r="218" spans="2:14" s="203" customFormat="1" x14ac:dyDescent="0.25">
      <c r="B218" s="203" t="s">
        <v>987</v>
      </c>
    </row>
    <row r="219" spans="2:14" s="203" customFormat="1" x14ac:dyDescent="0.25"/>
    <row r="220" spans="2:14" s="254" customFormat="1" ht="25" x14ac:dyDescent="0.25">
      <c r="B220" s="309" t="s">
        <v>988</v>
      </c>
      <c r="C220" s="309" t="s">
        <v>989</v>
      </c>
      <c r="D220" s="309" t="s">
        <v>687</v>
      </c>
      <c r="E220" s="309" t="s">
        <v>990</v>
      </c>
      <c r="F220" s="309" t="s">
        <v>687</v>
      </c>
      <c r="G220" s="309" t="s">
        <v>996</v>
      </c>
    </row>
    <row r="221" spans="2:14" x14ac:dyDescent="0.25">
      <c r="B221" s="326" t="str">
        <f>Inputs!C63</f>
        <v>Natural gas</v>
      </c>
      <c r="C221" s="541">
        <f>I30+IF($B$23=$B221,$I$23,0)</f>
        <v>181000</v>
      </c>
      <c r="D221" s="541" t="s">
        <v>75</v>
      </c>
      <c r="E221" s="326">
        <f>SUM(NGERFactors!G50:I50)</f>
        <v>51.53</v>
      </c>
      <c r="F221" s="326" t="s">
        <v>992</v>
      </c>
      <c r="G221" s="542">
        <f>E221*C221/1000</f>
        <v>9326.93</v>
      </c>
    </row>
    <row r="222" spans="2:14" x14ac:dyDescent="0.25">
      <c r="B222" s="326" t="str">
        <f>Inputs!C64</f>
        <v>Coal</v>
      </c>
      <c r="C222" s="541">
        <f t="shared" ref="C222:C227" si="34">I31+IF($B$23=$B222,$I$23,0)</f>
        <v>0</v>
      </c>
      <c r="D222" s="541" t="s">
        <v>75</v>
      </c>
      <c r="E222" s="326">
        <f>SUM(NGERFactors!H22:L22)</f>
        <v>90.23</v>
      </c>
      <c r="F222" s="326" t="s">
        <v>992</v>
      </c>
      <c r="G222" s="542">
        <f t="shared" ref="G222:G227" si="35">E222*C222/1000</f>
        <v>0</v>
      </c>
    </row>
    <row r="223" spans="2:14" x14ac:dyDescent="0.25">
      <c r="B223" s="326" t="str">
        <f>Inputs!C65</f>
        <v>LPG</v>
      </c>
      <c r="C223" s="541">
        <f t="shared" si="34"/>
        <v>0</v>
      </c>
      <c r="D223" s="541" t="s">
        <v>75</v>
      </c>
      <c r="E223" s="326">
        <f>SUM(NGERFactors!H86:J86)</f>
        <v>60.600000000000009</v>
      </c>
      <c r="F223" s="326" t="s">
        <v>992</v>
      </c>
      <c r="G223" s="542">
        <f t="shared" si="35"/>
        <v>0</v>
      </c>
    </row>
    <row r="224" spans="2:14" x14ac:dyDescent="0.25">
      <c r="B224" s="326" t="str">
        <f>Inputs!C66</f>
        <v>Tallow</v>
      </c>
      <c r="C224" s="541">
        <f t="shared" si="34"/>
        <v>0</v>
      </c>
      <c r="D224" s="541" t="s">
        <v>75</v>
      </c>
      <c r="E224" s="543"/>
      <c r="F224" s="543" t="s">
        <v>995</v>
      </c>
      <c r="G224" s="542">
        <f t="shared" si="35"/>
        <v>0</v>
      </c>
    </row>
    <row r="225" spans="2:9" x14ac:dyDescent="0.25">
      <c r="B225" s="326" t="str">
        <f>Inputs!C67</f>
        <v>Fuel Oil</v>
      </c>
      <c r="C225" s="541">
        <f t="shared" si="34"/>
        <v>0</v>
      </c>
      <c r="D225" s="541" t="s">
        <v>75</v>
      </c>
      <c r="E225" s="326">
        <f>SUM(NGERFactors!H83:J83)</f>
        <v>73.84</v>
      </c>
      <c r="F225" s="326" t="s">
        <v>992</v>
      </c>
      <c r="G225" s="542">
        <f t="shared" si="35"/>
        <v>0</v>
      </c>
    </row>
    <row r="226" spans="2:9" x14ac:dyDescent="0.25">
      <c r="B226" s="326" t="str">
        <f>Inputs!C68</f>
        <v>Diesel</v>
      </c>
      <c r="C226" s="541">
        <f t="shared" si="34"/>
        <v>0</v>
      </c>
      <c r="D226" s="541" t="s">
        <v>75</v>
      </c>
      <c r="E226" s="326">
        <f>SUM(NGERFactors!H82:J82)</f>
        <v>70.2</v>
      </c>
      <c r="F226" s="326" t="s">
        <v>992</v>
      </c>
      <c r="G226" s="542">
        <f t="shared" si="35"/>
        <v>0</v>
      </c>
    </row>
    <row r="227" spans="2:9" x14ac:dyDescent="0.25">
      <c r="B227" s="326" t="str">
        <f>Inputs!C69</f>
        <v>Petrol (ULP)</v>
      </c>
      <c r="C227" s="541">
        <f t="shared" si="34"/>
        <v>0</v>
      </c>
      <c r="D227" s="541" t="s">
        <v>75</v>
      </c>
      <c r="E227" s="326">
        <f>SUM(NGERFactors!H77:J77)</f>
        <v>67.800000000000011</v>
      </c>
      <c r="F227" s="326" t="s">
        <v>992</v>
      </c>
      <c r="G227" s="542">
        <f t="shared" si="35"/>
        <v>0</v>
      </c>
    </row>
    <row r="228" spans="2:9" x14ac:dyDescent="0.25">
      <c r="B228" s="326" t="s">
        <v>31</v>
      </c>
      <c r="C228" s="542">
        <f>SUM(C221:C227)</f>
        <v>181000</v>
      </c>
      <c r="F228" s="326" t="s">
        <v>31</v>
      </c>
      <c r="G228" s="542">
        <f>SUM(G221:G227)</f>
        <v>9326.93</v>
      </c>
      <c r="H228" s="326">
        <f>G228/$H$59*1000</f>
        <v>233.17325</v>
      </c>
      <c r="I228" s="326" t="s">
        <v>1011</v>
      </c>
    </row>
    <row r="229" spans="2:9" x14ac:dyDescent="0.25">
      <c r="B229" s="4" t="s">
        <v>997</v>
      </c>
    </row>
    <row r="231" spans="2:9" ht="25" x14ac:dyDescent="0.25">
      <c r="B231" s="309" t="s">
        <v>988</v>
      </c>
      <c r="C231" s="309" t="s">
        <v>989</v>
      </c>
      <c r="D231" s="309" t="s">
        <v>687</v>
      </c>
      <c r="E231" s="309" t="s">
        <v>990</v>
      </c>
      <c r="F231" s="309" t="s">
        <v>687</v>
      </c>
      <c r="G231" s="309" t="s">
        <v>1019</v>
      </c>
    </row>
    <row r="232" spans="2:9" x14ac:dyDescent="0.25">
      <c r="B232" s="326" t="s">
        <v>998</v>
      </c>
      <c r="C232" s="541">
        <f>MAX(0,Inputs!D76-Inputs!D77)</f>
        <v>4000000</v>
      </c>
      <c r="D232" s="541" t="s">
        <v>74</v>
      </c>
      <c r="E232" s="326">
        <f>NGERFactors!F178</f>
        <v>0.98</v>
      </c>
      <c r="F232" s="326" t="s">
        <v>1009</v>
      </c>
      <c r="G232" s="542">
        <f t="shared" ref="G232" si="36">E232*C232/1000</f>
        <v>3920</v>
      </c>
      <c r="H232" s="326">
        <f>G232/$H$59*1000</f>
        <v>98</v>
      </c>
      <c r="I232" s="326" t="s">
        <v>1011</v>
      </c>
    </row>
  </sheetData>
  <sheetProtection selectLockedCells="1"/>
  <mergeCells count="27">
    <mergeCell ref="B216:N216"/>
    <mergeCell ref="I203:J203"/>
    <mergeCell ref="B173:N173"/>
    <mergeCell ref="B204:B206"/>
    <mergeCell ref="B207:B209"/>
    <mergeCell ref="B210:B212"/>
    <mergeCell ref="C204:E204"/>
    <mergeCell ref="C205:E205"/>
    <mergeCell ref="C206:E206"/>
    <mergeCell ref="C207:E207"/>
    <mergeCell ref="C208:E208"/>
    <mergeCell ref="C209:E209"/>
    <mergeCell ref="C210:E210"/>
    <mergeCell ref="C211:E211"/>
    <mergeCell ref="C212:E212"/>
    <mergeCell ref="C188:D188"/>
    <mergeCell ref="E188:F188"/>
    <mergeCell ref="C185:E185"/>
    <mergeCell ref="C186:E186"/>
    <mergeCell ref="H184:I184"/>
    <mergeCell ref="H185:I185"/>
    <mergeCell ref="H186:I186"/>
    <mergeCell ref="A115:A117"/>
    <mergeCell ref="A112:A114"/>
    <mergeCell ref="C183:E183"/>
    <mergeCell ref="H183:I183"/>
    <mergeCell ref="C184:E184"/>
  </mergeCells>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1" tint="0.79998168889431442"/>
  </sheetPr>
  <dimension ref="A1:BJ148"/>
  <sheetViews>
    <sheetView workbookViewId="0">
      <selection activeCell="E234" sqref="E234"/>
    </sheetView>
  </sheetViews>
  <sheetFormatPr defaultColWidth="9.1796875" defaultRowHeight="12.5" x14ac:dyDescent="0.25"/>
  <cols>
    <col min="1" max="12" width="9.1796875" style="148"/>
    <col min="13" max="13" width="19.54296875" style="151" customWidth="1"/>
    <col min="14" max="14" width="10.54296875" style="173" customWidth="1"/>
    <col min="15" max="15" width="11.26953125" style="173" bestFit="1" customWidth="1"/>
    <col min="16" max="27" width="11.1796875" style="148" customWidth="1"/>
    <col min="28" max="29" width="9.1796875" style="148"/>
    <col min="30" max="30" width="14.81640625" style="148" customWidth="1"/>
    <col min="31" max="36" width="17.453125" style="148" customWidth="1"/>
    <col min="37" max="37" width="8" style="148" customWidth="1"/>
    <col min="38" max="38" width="9.1796875" style="148"/>
    <col min="39" max="50" width="11.1796875" style="148" customWidth="1"/>
    <col min="51" max="52" width="9.1796875" style="148"/>
    <col min="53" max="53" width="14" style="148" customWidth="1"/>
    <col min="54" max="16384" width="9.1796875" style="148"/>
  </cols>
  <sheetData>
    <row r="1" spans="1:37" ht="19.5" thickBot="1" x14ac:dyDescent="0.45">
      <c r="B1" s="5" t="s">
        <v>408</v>
      </c>
    </row>
    <row r="2" spans="1:37" ht="13" thickTop="1" x14ac:dyDescent="0.25"/>
    <row r="3" spans="1:37" x14ac:dyDescent="0.25">
      <c r="B3" s="148" t="s">
        <v>86</v>
      </c>
    </row>
    <row r="5" spans="1:37" x14ac:dyDescent="0.25">
      <c r="B5" s="203" t="s">
        <v>409</v>
      </c>
    </row>
    <row r="6" spans="1:37" x14ac:dyDescent="0.25">
      <c r="B6" s="203" t="s">
        <v>410</v>
      </c>
    </row>
    <row r="7" spans="1:37" x14ac:dyDescent="0.25">
      <c r="B7" s="203" t="s">
        <v>411</v>
      </c>
    </row>
    <row r="8" spans="1:37" x14ac:dyDescent="0.25">
      <c r="B8" s="203" t="s">
        <v>396</v>
      </c>
    </row>
    <row r="9" spans="1:37" x14ac:dyDescent="0.25">
      <c r="B9" s="203" t="s">
        <v>397</v>
      </c>
    </row>
    <row r="10" spans="1:37" x14ac:dyDescent="0.25">
      <c r="B10" s="203" t="s">
        <v>439</v>
      </c>
    </row>
    <row r="13" spans="1:37" ht="13" x14ac:dyDescent="0.3">
      <c r="A13" s="177" t="str">
        <f>B5</f>
        <v>1) From literature review, import typical energy use breakdown at a typical meat plant</v>
      </c>
      <c r="M13" s="177" t="str">
        <f>B6</f>
        <v>2) Subdivide by plants with / without rendering and apply industry experience to apportion this energy use (hot water, steam, electricity) across the site facilities</v>
      </c>
    </row>
    <row r="14" spans="1:37" ht="13" x14ac:dyDescent="0.3">
      <c r="B14" s="294" t="s">
        <v>542</v>
      </c>
      <c r="C14" s="108"/>
      <c r="D14" s="108"/>
      <c r="E14" s="108"/>
    </row>
    <row r="15" spans="1:37" x14ac:dyDescent="0.25">
      <c r="N15" s="148" t="s">
        <v>5</v>
      </c>
      <c r="AK15" s="148" t="s">
        <v>373</v>
      </c>
    </row>
    <row r="16" spans="1:37" x14ac:dyDescent="0.25">
      <c r="N16" s="151"/>
    </row>
    <row r="17" spans="13:62" ht="37.5" x14ac:dyDescent="0.25">
      <c r="N17" s="151"/>
      <c r="O17" s="174"/>
      <c r="P17" s="149" t="str">
        <f t="array" ref="P17:AA17">TRANSPOSE(Facilities_List)</f>
        <v>Stockyards</v>
      </c>
      <c r="Q17" s="149" t="str">
        <v>Slaughter and Evisceration</v>
      </c>
      <c r="R17" s="149" t="str">
        <v>Hide Processing</v>
      </c>
      <c r="S17" s="149" t="str">
        <v>Blood Processing</v>
      </c>
      <c r="T17" s="149" t="str">
        <v>Rendering</v>
      </c>
      <c r="U17" s="149" t="str">
        <v>Paunch Processing</v>
      </c>
      <c r="V17" s="149" t="str">
        <v>Offal Washing</v>
      </c>
      <c r="W17" s="149" t="str">
        <v>Wastewater Treatment</v>
      </c>
      <c r="X17" s="149" t="str">
        <v>Chilling</v>
      </c>
      <c r="Y17" s="149" t="str">
        <v>Boning</v>
      </c>
      <c r="Z17" s="149" t="str">
        <v>Packaging</v>
      </c>
      <c r="AA17" s="149" t="str">
        <v>Freezing</v>
      </c>
      <c r="AB17" s="149"/>
      <c r="AC17" s="149"/>
      <c r="AD17" s="149"/>
      <c r="AE17" s="151"/>
      <c r="AF17" s="151"/>
      <c r="AG17" s="151"/>
      <c r="AH17" s="151"/>
      <c r="AI17" s="151"/>
      <c r="AJ17" s="151"/>
      <c r="AK17" s="151"/>
      <c r="AL17" s="174"/>
      <c r="AM17" s="204" t="str">
        <f t="array" ref="AM17:AX17">TRANSPOSE(Facilities_List)</f>
        <v>Stockyards</v>
      </c>
      <c r="AN17" s="204" t="str">
        <v>Slaughter and Evisceration</v>
      </c>
      <c r="AO17" s="204" t="str">
        <v>Hide Processing</v>
      </c>
      <c r="AP17" s="204" t="str">
        <v>Blood Processing</v>
      </c>
      <c r="AQ17" s="204" t="str">
        <v>Rendering</v>
      </c>
      <c r="AR17" s="204" t="str">
        <v>Paunch Processing</v>
      </c>
      <c r="AS17" s="204" t="str">
        <v>Offal Washing</v>
      </c>
      <c r="AT17" s="204" t="str">
        <v>Wastewater Treatment</v>
      </c>
      <c r="AU17" s="204" t="str">
        <v>Chilling</v>
      </c>
      <c r="AV17" s="204" t="str">
        <v>Boning</v>
      </c>
      <c r="AW17" s="204" t="str">
        <v>Packaging</v>
      </c>
      <c r="AX17" s="204" t="str">
        <v>Freezing</v>
      </c>
      <c r="AY17" s="149"/>
      <c r="AZ17" s="149"/>
      <c r="BA17" s="149"/>
      <c r="BB17" s="149"/>
      <c r="BC17" s="149"/>
      <c r="BD17" s="149"/>
      <c r="BE17" s="149"/>
      <c r="BF17" s="149"/>
      <c r="BG17" s="149"/>
      <c r="BH17" s="149"/>
      <c r="BI17" s="149"/>
      <c r="BJ17" s="149"/>
    </row>
    <row r="18" spans="13:62" ht="39" x14ac:dyDescent="0.25">
      <c r="M18" s="148"/>
      <c r="N18" s="178" t="s">
        <v>27</v>
      </c>
      <c r="O18" s="173" t="s">
        <v>30</v>
      </c>
      <c r="AE18" s="178"/>
      <c r="AF18" s="178"/>
      <c r="AG18" s="178"/>
      <c r="AH18" s="178"/>
      <c r="AI18" s="178"/>
      <c r="AJ18" s="178"/>
      <c r="AK18" s="178" t="s">
        <v>27</v>
      </c>
      <c r="AL18" s="173" t="s">
        <v>30</v>
      </c>
    </row>
    <row r="19" spans="13:62" ht="17.25" customHeight="1" x14ac:dyDescent="0.25">
      <c r="M19" s="148"/>
      <c r="N19" s="151" t="s">
        <v>13</v>
      </c>
      <c r="O19" s="173">
        <v>30000</v>
      </c>
      <c r="P19" s="446">
        <v>0</v>
      </c>
      <c r="Q19" s="446">
        <v>0.4</v>
      </c>
      <c r="R19" s="446">
        <v>0</v>
      </c>
      <c r="S19" s="446">
        <v>0</v>
      </c>
      <c r="T19" s="446">
        <v>0</v>
      </c>
      <c r="U19" s="446">
        <v>0</v>
      </c>
      <c r="V19" s="446">
        <v>0</v>
      </c>
      <c r="W19" s="446">
        <v>0</v>
      </c>
      <c r="X19" s="446">
        <v>0</v>
      </c>
      <c r="Y19" s="446">
        <v>0.6</v>
      </c>
      <c r="Z19" s="446">
        <v>0</v>
      </c>
      <c r="AA19" s="446">
        <v>0</v>
      </c>
      <c r="AB19" s="175">
        <f t="shared" ref="AB19:AB26" si="0">SUM(P19:AA19)</f>
        <v>1</v>
      </c>
      <c r="AE19" s="151"/>
      <c r="AF19" s="151"/>
      <c r="AG19" s="151"/>
      <c r="AH19" s="151"/>
      <c r="AI19" s="151"/>
      <c r="AJ19" s="151"/>
      <c r="AK19" s="151" t="s">
        <v>13</v>
      </c>
      <c r="AL19" s="173">
        <v>30000</v>
      </c>
      <c r="AM19" s="446">
        <v>0</v>
      </c>
      <c r="AN19" s="446">
        <v>0.2</v>
      </c>
      <c r="AO19" s="446">
        <v>0</v>
      </c>
      <c r="AP19" s="446">
        <v>0</v>
      </c>
      <c r="AQ19" s="446">
        <v>0</v>
      </c>
      <c r="AR19" s="446">
        <v>0</v>
      </c>
      <c r="AS19" s="446">
        <v>0</v>
      </c>
      <c r="AT19" s="446">
        <v>0</v>
      </c>
      <c r="AU19" s="446">
        <v>0</v>
      </c>
      <c r="AV19" s="446">
        <v>0.8</v>
      </c>
      <c r="AW19" s="446">
        <v>0</v>
      </c>
      <c r="AX19" s="446">
        <v>0</v>
      </c>
      <c r="AY19" s="175">
        <f t="shared" ref="AY19:AY26" si="1">SUM(AM19:AX19)</f>
        <v>1</v>
      </c>
    </row>
    <row r="20" spans="13:62" s="149" customFormat="1" ht="17.25" customHeight="1" x14ac:dyDescent="0.25">
      <c r="N20" s="151" t="s">
        <v>14</v>
      </c>
      <c r="O20" s="173">
        <v>5000</v>
      </c>
      <c r="P20" s="447">
        <v>0</v>
      </c>
      <c r="Q20" s="446">
        <v>0.1</v>
      </c>
      <c r="R20" s="446">
        <v>0.1</v>
      </c>
      <c r="S20" s="446">
        <v>0.1</v>
      </c>
      <c r="T20" s="446">
        <v>0.1</v>
      </c>
      <c r="U20" s="446">
        <v>0.1</v>
      </c>
      <c r="V20" s="446">
        <v>0.1</v>
      </c>
      <c r="W20" s="446">
        <v>0.1</v>
      </c>
      <c r="X20" s="446">
        <v>0.1</v>
      </c>
      <c r="Y20" s="446">
        <v>0.1</v>
      </c>
      <c r="Z20" s="446">
        <v>0.1</v>
      </c>
      <c r="AA20" s="447">
        <v>0</v>
      </c>
      <c r="AB20" s="175">
        <f t="shared" si="0"/>
        <v>0.99999999999999989</v>
      </c>
      <c r="AC20" s="148"/>
      <c r="AD20" s="148"/>
      <c r="AE20" s="151"/>
      <c r="AF20" s="151"/>
      <c r="AG20" s="151"/>
      <c r="AH20" s="151"/>
      <c r="AI20" s="151"/>
      <c r="AJ20" s="151"/>
      <c r="AK20" s="151" t="s">
        <v>14</v>
      </c>
      <c r="AL20" s="173">
        <v>4500</v>
      </c>
      <c r="AM20" s="447">
        <v>0</v>
      </c>
      <c r="AN20" s="446">
        <v>0.15</v>
      </c>
      <c r="AO20" s="446">
        <v>0.05</v>
      </c>
      <c r="AP20" s="446">
        <v>0.05</v>
      </c>
      <c r="AQ20" s="446"/>
      <c r="AR20" s="446">
        <v>0.1</v>
      </c>
      <c r="AS20" s="446">
        <v>0.1</v>
      </c>
      <c r="AT20" s="446">
        <v>0.1</v>
      </c>
      <c r="AU20" s="446">
        <v>0.05</v>
      </c>
      <c r="AV20" s="446">
        <v>0.3</v>
      </c>
      <c r="AW20" s="446">
        <v>0.1</v>
      </c>
      <c r="AX20" s="447">
        <v>0</v>
      </c>
      <c r="AY20" s="175">
        <f t="shared" si="1"/>
        <v>0.99999999999999989</v>
      </c>
      <c r="AZ20" s="148"/>
      <c r="BA20" s="148"/>
      <c r="BB20" s="148"/>
      <c r="BC20" s="148"/>
      <c r="BD20" s="148"/>
      <c r="BE20" s="148"/>
      <c r="BF20" s="148"/>
      <c r="BG20" s="148"/>
      <c r="BH20" s="148"/>
      <c r="BI20" s="148"/>
      <c r="BJ20" s="148"/>
    </row>
    <row r="21" spans="13:62" ht="17.25" customHeight="1" x14ac:dyDescent="0.25">
      <c r="M21" s="148"/>
      <c r="N21" s="151" t="s">
        <v>15</v>
      </c>
      <c r="O21" s="173">
        <v>15000</v>
      </c>
      <c r="P21" s="447">
        <v>0</v>
      </c>
      <c r="Q21" s="447">
        <v>1</v>
      </c>
      <c r="R21" s="447">
        <v>0</v>
      </c>
      <c r="S21" s="447">
        <v>0</v>
      </c>
      <c r="T21" s="447">
        <v>0</v>
      </c>
      <c r="U21" s="447">
        <v>0</v>
      </c>
      <c r="V21" s="447">
        <v>0</v>
      </c>
      <c r="W21" s="447">
        <v>0</v>
      </c>
      <c r="X21" s="447">
        <v>0</v>
      </c>
      <c r="Y21" s="447">
        <v>0</v>
      </c>
      <c r="Z21" s="447">
        <v>0</v>
      </c>
      <c r="AA21" s="447">
        <v>0</v>
      </c>
      <c r="AB21" s="175">
        <f t="shared" si="0"/>
        <v>1</v>
      </c>
      <c r="AE21" s="151"/>
      <c r="AF21" s="151"/>
      <c r="AG21" s="151"/>
      <c r="AH21" s="151"/>
      <c r="AI21" s="151"/>
      <c r="AJ21" s="151"/>
      <c r="AK21" s="151" t="s">
        <v>15</v>
      </c>
      <c r="AL21" s="173">
        <v>15000</v>
      </c>
      <c r="AM21" s="447">
        <v>0</v>
      </c>
      <c r="AN21" s="447">
        <v>1</v>
      </c>
      <c r="AO21" s="447">
        <v>0</v>
      </c>
      <c r="AP21" s="447">
        <v>0</v>
      </c>
      <c r="AQ21" s="447">
        <v>0</v>
      </c>
      <c r="AR21" s="447">
        <v>0</v>
      </c>
      <c r="AS21" s="447">
        <v>0</v>
      </c>
      <c r="AT21" s="447">
        <v>0</v>
      </c>
      <c r="AU21" s="447">
        <v>0</v>
      </c>
      <c r="AV21" s="447">
        <v>0</v>
      </c>
      <c r="AW21" s="447">
        <v>0</v>
      </c>
      <c r="AX21" s="447">
        <v>0</v>
      </c>
      <c r="AY21" s="175">
        <f t="shared" si="1"/>
        <v>1</v>
      </c>
    </row>
    <row r="22" spans="13:62" ht="17.25" customHeight="1" x14ac:dyDescent="0.25">
      <c r="M22" s="148"/>
      <c r="N22" s="151" t="s">
        <v>16</v>
      </c>
      <c r="O22" s="173">
        <v>25000</v>
      </c>
      <c r="P22" s="446">
        <v>0.1</v>
      </c>
      <c r="Q22" s="446">
        <v>0.35</v>
      </c>
      <c r="R22" s="446">
        <v>0.05</v>
      </c>
      <c r="S22" s="446">
        <v>0.05</v>
      </c>
      <c r="T22" s="446">
        <v>0.16</v>
      </c>
      <c r="U22" s="446">
        <v>7.0000000000000007E-2</v>
      </c>
      <c r="V22" s="446">
        <v>7.0000000000000007E-2</v>
      </c>
      <c r="W22" s="446">
        <v>0.05</v>
      </c>
      <c r="X22" s="446">
        <v>0</v>
      </c>
      <c r="Y22" s="446">
        <v>0.1</v>
      </c>
      <c r="Z22" s="446">
        <v>0</v>
      </c>
      <c r="AA22" s="446">
        <v>0</v>
      </c>
      <c r="AB22" s="175">
        <f t="shared" si="0"/>
        <v>1.0000000000000002</v>
      </c>
      <c r="AE22" s="151"/>
      <c r="AF22" s="151"/>
      <c r="AG22" s="151"/>
      <c r="AH22" s="151"/>
      <c r="AI22" s="151"/>
      <c r="AJ22" s="151"/>
      <c r="AK22" s="151" t="s">
        <v>16</v>
      </c>
      <c r="AL22" s="173">
        <v>20000</v>
      </c>
      <c r="AM22" s="446">
        <v>0.1</v>
      </c>
      <c r="AN22" s="446">
        <v>0.35</v>
      </c>
      <c r="AO22" s="446">
        <v>0.05</v>
      </c>
      <c r="AP22" s="446">
        <v>0.02</v>
      </c>
      <c r="AQ22" s="446"/>
      <c r="AR22" s="446">
        <v>0.1</v>
      </c>
      <c r="AS22" s="446">
        <v>0.1</v>
      </c>
      <c r="AT22" s="446"/>
      <c r="AU22" s="446">
        <v>0</v>
      </c>
      <c r="AV22" s="446">
        <v>0.28000000000000003</v>
      </c>
      <c r="AW22" s="446">
        <v>0</v>
      </c>
      <c r="AX22" s="446">
        <v>0</v>
      </c>
      <c r="AY22" s="175">
        <f t="shared" si="1"/>
        <v>0.99999999999999989</v>
      </c>
    </row>
    <row r="23" spans="13:62" ht="17.25" customHeight="1" x14ac:dyDescent="0.25">
      <c r="M23" s="148"/>
      <c r="N23" s="151" t="s">
        <v>17</v>
      </c>
      <c r="O23" s="173">
        <v>5000</v>
      </c>
      <c r="P23" s="446">
        <f>1/COUNTA($P$17:$AA$17)</f>
        <v>8.3333333333333329E-2</v>
      </c>
      <c r="Q23" s="446">
        <f t="shared" ref="Q23:AA23" si="2">1/COUNTA($P$17:$AA$17)</f>
        <v>8.3333333333333329E-2</v>
      </c>
      <c r="R23" s="446">
        <f t="shared" si="2"/>
        <v>8.3333333333333329E-2</v>
      </c>
      <c r="S23" s="446">
        <f t="shared" si="2"/>
        <v>8.3333333333333329E-2</v>
      </c>
      <c r="T23" s="446">
        <f t="shared" si="2"/>
        <v>8.3333333333333329E-2</v>
      </c>
      <c r="U23" s="446">
        <f t="shared" si="2"/>
        <v>8.3333333333333329E-2</v>
      </c>
      <c r="V23" s="446">
        <f t="shared" si="2"/>
        <v>8.3333333333333329E-2</v>
      </c>
      <c r="W23" s="446">
        <f t="shared" si="2"/>
        <v>8.3333333333333329E-2</v>
      </c>
      <c r="X23" s="446">
        <f t="shared" si="2"/>
        <v>8.3333333333333329E-2</v>
      </c>
      <c r="Y23" s="446">
        <f t="shared" si="2"/>
        <v>8.3333333333333329E-2</v>
      </c>
      <c r="Z23" s="446">
        <f t="shared" si="2"/>
        <v>8.3333333333333329E-2</v>
      </c>
      <c r="AA23" s="446">
        <f t="shared" si="2"/>
        <v>8.3333333333333329E-2</v>
      </c>
      <c r="AB23" s="175">
        <f t="shared" si="0"/>
        <v>1</v>
      </c>
      <c r="AE23" s="151"/>
      <c r="AF23" s="151"/>
      <c r="AG23" s="151"/>
      <c r="AH23" s="151"/>
      <c r="AI23" s="151"/>
      <c r="AJ23" s="151"/>
      <c r="AK23" s="151" t="s">
        <v>17</v>
      </c>
      <c r="AL23" s="173">
        <v>4500</v>
      </c>
      <c r="AM23" s="446">
        <f>1/COUNTA($P$17:$AA$17)</f>
        <v>8.3333333333333329E-2</v>
      </c>
      <c r="AN23" s="446">
        <v>0.12</v>
      </c>
      <c r="AO23" s="446">
        <f t="shared" ref="AO23:AX23" si="3">1/COUNTA($P$17:$AA$17)</f>
        <v>8.3333333333333329E-2</v>
      </c>
      <c r="AP23" s="446">
        <f t="shared" si="3"/>
        <v>8.3333333333333329E-2</v>
      </c>
      <c r="AQ23" s="446"/>
      <c r="AR23" s="446">
        <f t="shared" si="3"/>
        <v>8.3333333333333329E-2</v>
      </c>
      <c r="AS23" s="446">
        <f t="shared" si="3"/>
        <v>8.3333333333333329E-2</v>
      </c>
      <c r="AT23" s="446">
        <f t="shared" si="3"/>
        <v>8.3333333333333329E-2</v>
      </c>
      <c r="AU23" s="446">
        <f t="shared" si="3"/>
        <v>8.3333333333333329E-2</v>
      </c>
      <c r="AV23" s="446">
        <v>0.13</v>
      </c>
      <c r="AW23" s="446">
        <f t="shared" si="3"/>
        <v>8.3333333333333329E-2</v>
      </c>
      <c r="AX23" s="446">
        <f t="shared" si="3"/>
        <v>8.3333333333333329E-2</v>
      </c>
      <c r="AY23" s="175">
        <f t="shared" si="1"/>
        <v>1</v>
      </c>
    </row>
    <row r="24" spans="13:62" ht="17.25" customHeight="1" x14ac:dyDescent="0.25">
      <c r="M24" s="148"/>
      <c r="N24" s="151" t="s">
        <v>51</v>
      </c>
      <c r="O24" s="173">
        <v>2000</v>
      </c>
      <c r="P24" s="447">
        <v>0</v>
      </c>
      <c r="Q24" s="447">
        <v>0</v>
      </c>
      <c r="R24" s="447">
        <v>0</v>
      </c>
      <c r="S24" s="447">
        <v>0</v>
      </c>
      <c r="T24" s="447">
        <v>0</v>
      </c>
      <c r="U24" s="447">
        <v>1</v>
      </c>
      <c r="V24" s="447">
        <v>0</v>
      </c>
      <c r="W24" s="447">
        <v>0</v>
      </c>
      <c r="X24" s="447">
        <v>0</v>
      </c>
      <c r="Y24" s="447">
        <v>0</v>
      </c>
      <c r="Z24" s="447">
        <v>0</v>
      </c>
      <c r="AA24" s="447">
        <v>0</v>
      </c>
      <c r="AB24" s="175">
        <f t="shared" si="0"/>
        <v>1</v>
      </c>
      <c r="AE24" s="151"/>
      <c r="AF24" s="151"/>
      <c r="AG24" s="151"/>
      <c r="AH24" s="151"/>
      <c r="AI24" s="151"/>
      <c r="AJ24" s="151"/>
      <c r="AK24" s="151" t="s">
        <v>51</v>
      </c>
      <c r="AL24" s="173">
        <v>2000</v>
      </c>
      <c r="AM24" s="447">
        <v>0</v>
      </c>
      <c r="AN24" s="447">
        <v>0</v>
      </c>
      <c r="AO24" s="447">
        <v>0</v>
      </c>
      <c r="AP24" s="447">
        <v>0</v>
      </c>
      <c r="AQ24" s="447">
        <v>0</v>
      </c>
      <c r="AR24" s="447">
        <v>1</v>
      </c>
      <c r="AS24" s="447">
        <v>0</v>
      </c>
      <c r="AT24" s="447">
        <v>0</v>
      </c>
      <c r="AU24" s="447">
        <v>0</v>
      </c>
      <c r="AV24" s="447">
        <v>0</v>
      </c>
      <c r="AW24" s="447">
        <v>0</v>
      </c>
      <c r="AX24" s="447">
        <v>0</v>
      </c>
      <c r="AY24" s="175">
        <f t="shared" si="1"/>
        <v>1</v>
      </c>
    </row>
    <row r="25" spans="13:62" ht="17.25" customHeight="1" x14ac:dyDescent="0.25">
      <c r="M25" s="148"/>
      <c r="N25" s="151" t="s">
        <v>18</v>
      </c>
      <c r="O25" s="173">
        <v>1000</v>
      </c>
      <c r="P25" s="446">
        <v>0</v>
      </c>
      <c r="Q25" s="446">
        <v>0.4</v>
      </c>
      <c r="R25" s="446">
        <v>0</v>
      </c>
      <c r="S25" s="446">
        <v>0</v>
      </c>
      <c r="T25" s="446">
        <v>0</v>
      </c>
      <c r="U25" s="446">
        <v>0</v>
      </c>
      <c r="V25" s="446">
        <v>0</v>
      </c>
      <c r="W25" s="446">
        <v>0</v>
      </c>
      <c r="X25" s="446">
        <v>0</v>
      </c>
      <c r="Y25" s="446">
        <v>0.4</v>
      </c>
      <c r="Z25" s="446">
        <v>0.2</v>
      </c>
      <c r="AA25" s="446">
        <v>0</v>
      </c>
      <c r="AB25" s="175">
        <f t="shared" si="0"/>
        <v>1</v>
      </c>
      <c r="AE25" s="151"/>
      <c r="AF25" s="151"/>
      <c r="AG25" s="151"/>
      <c r="AH25" s="151"/>
      <c r="AI25" s="151"/>
      <c r="AJ25" s="151"/>
      <c r="AK25" s="151" t="s">
        <v>18</v>
      </c>
      <c r="AL25" s="173">
        <v>1000</v>
      </c>
      <c r="AM25" s="446">
        <v>0</v>
      </c>
      <c r="AN25" s="446">
        <v>0.4</v>
      </c>
      <c r="AO25" s="446">
        <v>0</v>
      </c>
      <c r="AP25" s="446">
        <v>0</v>
      </c>
      <c r="AQ25" s="446">
        <v>0</v>
      </c>
      <c r="AR25" s="446">
        <v>0</v>
      </c>
      <c r="AS25" s="446">
        <v>0</v>
      </c>
      <c r="AT25" s="446">
        <v>0</v>
      </c>
      <c r="AU25" s="446">
        <v>0</v>
      </c>
      <c r="AV25" s="446">
        <v>0.4</v>
      </c>
      <c r="AW25" s="446">
        <v>0.2</v>
      </c>
      <c r="AX25" s="446">
        <v>0</v>
      </c>
      <c r="AY25" s="175">
        <f t="shared" si="1"/>
        <v>1</v>
      </c>
    </row>
    <row r="26" spans="13:62" ht="17.25" customHeight="1" x14ac:dyDescent="0.3">
      <c r="M26" s="148"/>
      <c r="N26" s="151" t="s">
        <v>19</v>
      </c>
      <c r="O26" s="173">
        <v>5000</v>
      </c>
      <c r="P26" s="448">
        <f>SUMPRODUCT($O19:$O25,P19:P25)/SUM($O19:$O25)</f>
        <v>3.5140562248995984E-2</v>
      </c>
      <c r="Q26" s="448">
        <f t="shared" ref="Q26:AA26" si="4">SUMPRODUCT($O19:$O25,Q19:Q25)/SUM($O19:$O25)</f>
        <v>0.44658634538152608</v>
      </c>
      <c r="R26" s="448">
        <f t="shared" si="4"/>
        <v>2.6104417670682729E-2</v>
      </c>
      <c r="S26" s="448">
        <f t="shared" si="4"/>
        <v>2.6104417670682729E-2</v>
      </c>
      <c r="T26" s="448">
        <f t="shared" si="4"/>
        <v>5.923694779116466E-2</v>
      </c>
      <c r="U26" s="448">
        <f t="shared" si="4"/>
        <v>5.6224899598393566E-2</v>
      </c>
      <c r="V26" s="448">
        <f t="shared" si="4"/>
        <v>3.2128514056224897E-2</v>
      </c>
      <c r="W26" s="448">
        <f t="shared" si="4"/>
        <v>2.6104417670682729E-2</v>
      </c>
      <c r="X26" s="448">
        <f t="shared" si="4"/>
        <v>1.104417670682731E-2</v>
      </c>
      <c r="Y26" s="448">
        <f t="shared" si="4"/>
        <v>0.26285140562248999</v>
      </c>
      <c r="Z26" s="448">
        <f t="shared" si="4"/>
        <v>1.3453815261044175E-2</v>
      </c>
      <c r="AA26" s="448">
        <f t="shared" si="4"/>
        <v>5.0200803212851405E-3</v>
      </c>
      <c r="AB26" s="175">
        <f t="shared" si="0"/>
        <v>0.99999999999999989</v>
      </c>
      <c r="AE26" s="151"/>
      <c r="AF26" s="151"/>
      <c r="AG26" s="151"/>
      <c r="AH26" s="151"/>
      <c r="AI26" s="151"/>
      <c r="AJ26" s="151"/>
      <c r="AK26" s="151" t="s">
        <v>19</v>
      </c>
      <c r="AL26" s="173">
        <v>5000</v>
      </c>
      <c r="AM26" s="448">
        <f>SUMPRODUCT($O19:$O25,AM19:AM25)/SUM($O19:$O25)</f>
        <v>3.5140562248995984E-2</v>
      </c>
      <c r="AN26" s="448">
        <f t="shared" ref="AN26:AX26" si="5">SUMPRODUCT($O19:$O25,AN19:AN25)/SUM($O19:$O25)</f>
        <v>0.37951807228915663</v>
      </c>
      <c r="AO26" s="448">
        <f t="shared" si="5"/>
        <v>2.3092369477911646E-2</v>
      </c>
      <c r="AP26" s="448">
        <f t="shared" si="5"/>
        <v>1.4056224899598391E-2</v>
      </c>
      <c r="AQ26" s="448">
        <f t="shared" si="5"/>
        <v>0</v>
      </c>
      <c r="AR26" s="448">
        <f t="shared" si="5"/>
        <v>6.526104417670682E-2</v>
      </c>
      <c r="AS26" s="448">
        <f t="shared" si="5"/>
        <v>4.1164658634538151E-2</v>
      </c>
      <c r="AT26" s="448">
        <f t="shared" si="5"/>
        <v>1.104417670682731E-2</v>
      </c>
      <c r="AU26" s="448">
        <f t="shared" si="5"/>
        <v>8.0321285140562242E-3</v>
      </c>
      <c r="AV26" s="448">
        <f t="shared" si="5"/>
        <v>0.4042168674698795</v>
      </c>
      <c r="AW26" s="448">
        <f t="shared" si="5"/>
        <v>1.3453815261044175E-2</v>
      </c>
      <c r="AX26" s="448">
        <f t="shared" si="5"/>
        <v>5.0200803212851405E-3</v>
      </c>
      <c r="AY26" s="175">
        <f t="shared" si="1"/>
        <v>0.99999999999999989</v>
      </c>
    </row>
    <row r="27" spans="13:62" ht="13" x14ac:dyDescent="0.25">
      <c r="M27" s="148"/>
      <c r="N27" s="178" t="s">
        <v>31</v>
      </c>
      <c r="O27" s="180">
        <f>SUM(O19:O26)</f>
        <v>88000</v>
      </c>
      <c r="P27" s="253"/>
      <c r="Q27" s="253"/>
      <c r="R27" s="253"/>
      <c r="S27" s="253"/>
      <c r="T27" s="253"/>
      <c r="U27" s="253"/>
      <c r="V27" s="253"/>
      <c r="W27" s="253"/>
      <c r="X27" s="253"/>
      <c r="Y27" s="253"/>
      <c r="Z27" s="253"/>
      <c r="AA27" s="253"/>
      <c r="AE27" s="178"/>
      <c r="AF27" s="178"/>
      <c r="AG27" s="178"/>
      <c r="AH27" s="178"/>
      <c r="AI27" s="178"/>
      <c r="AJ27" s="178"/>
      <c r="AK27" s="178" t="s">
        <v>31</v>
      </c>
      <c r="AL27" s="180">
        <f>SUM(AL19:AL26)</f>
        <v>82000</v>
      </c>
      <c r="AM27" s="253"/>
      <c r="AN27" s="253"/>
      <c r="AO27" s="253"/>
      <c r="AP27" s="253"/>
      <c r="AQ27" s="253"/>
      <c r="AR27" s="253"/>
      <c r="AS27" s="253"/>
      <c r="AT27" s="253"/>
      <c r="AU27" s="253"/>
      <c r="AV27" s="253"/>
      <c r="AW27" s="253"/>
      <c r="AX27" s="253"/>
    </row>
    <row r="28" spans="13:62" x14ac:dyDescent="0.25">
      <c r="M28" s="148"/>
      <c r="N28" s="151"/>
      <c r="P28" s="253"/>
      <c r="Q28" s="253"/>
      <c r="R28" s="253"/>
      <c r="S28" s="253"/>
      <c r="T28" s="253"/>
      <c r="U28" s="253"/>
      <c r="V28" s="253"/>
      <c r="W28" s="253"/>
      <c r="X28" s="253"/>
      <c r="Y28" s="253"/>
      <c r="Z28" s="253"/>
      <c r="AA28" s="253"/>
      <c r="AE28" s="151"/>
      <c r="AF28" s="151"/>
      <c r="AG28" s="151"/>
      <c r="AH28" s="151"/>
      <c r="AI28" s="151"/>
      <c r="AJ28" s="151"/>
      <c r="AK28" s="151"/>
      <c r="AL28" s="173"/>
      <c r="AM28" s="253"/>
      <c r="AN28" s="253"/>
      <c r="AO28" s="253"/>
      <c r="AP28" s="253"/>
      <c r="AQ28" s="253"/>
      <c r="AR28" s="253"/>
      <c r="AS28" s="253"/>
      <c r="AT28" s="253"/>
      <c r="AU28" s="253"/>
      <c r="AV28" s="253"/>
      <c r="AW28" s="253"/>
      <c r="AX28" s="253"/>
    </row>
    <row r="29" spans="13:62" ht="25" x14ac:dyDescent="0.25">
      <c r="M29" s="148"/>
      <c r="N29" s="151" t="s">
        <v>33</v>
      </c>
      <c r="O29" s="173">
        <v>60000</v>
      </c>
      <c r="P29" s="253"/>
      <c r="Q29" s="253"/>
      <c r="R29" s="253"/>
      <c r="S29" s="253"/>
      <c r="T29" s="253"/>
      <c r="U29" s="253"/>
      <c r="V29" s="253"/>
      <c r="W29" s="253"/>
      <c r="X29" s="253"/>
      <c r="Y29" s="253"/>
      <c r="Z29" s="253"/>
      <c r="AA29" s="253"/>
      <c r="AE29" s="151"/>
      <c r="AF29" s="151"/>
      <c r="AG29" s="151"/>
      <c r="AH29" s="151"/>
      <c r="AI29" s="151"/>
      <c r="AJ29" s="151"/>
      <c r="AK29" s="151" t="s">
        <v>33</v>
      </c>
      <c r="AL29" s="173">
        <v>0</v>
      </c>
      <c r="AM29" s="253"/>
      <c r="AN29" s="253"/>
      <c r="AO29" s="253"/>
      <c r="AP29" s="253"/>
      <c r="AQ29" s="253"/>
      <c r="AR29" s="253"/>
      <c r="AS29" s="253"/>
      <c r="AT29" s="253"/>
      <c r="AU29" s="253"/>
      <c r="AV29" s="253"/>
      <c r="AW29" s="253"/>
      <c r="AX29" s="253"/>
    </row>
    <row r="30" spans="13:62" ht="50" x14ac:dyDescent="0.25">
      <c r="M30" s="148"/>
      <c r="N30" s="151" t="s">
        <v>34</v>
      </c>
      <c r="O30" s="179">
        <f>O27-O29</f>
        <v>28000</v>
      </c>
      <c r="P30" s="253"/>
      <c r="Q30" s="253"/>
      <c r="R30" s="253"/>
      <c r="S30" s="253"/>
      <c r="T30" s="253"/>
      <c r="U30" s="253"/>
      <c r="V30" s="253"/>
      <c r="W30" s="253"/>
      <c r="X30" s="253"/>
      <c r="Y30" s="253"/>
      <c r="Z30" s="253"/>
      <c r="AA30" s="253"/>
      <c r="AE30" s="151"/>
      <c r="AF30" s="151"/>
      <c r="AG30" s="151"/>
      <c r="AH30" s="151"/>
      <c r="AI30" s="151"/>
      <c r="AJ30" s="151"/>
      <c r="AK30" s="151" t="s">
        <v>34</v>
      </c>
      <c r="AL30" s="179">
        <f>AL27-AL29</f>
        <v>82000</v>
      </c>
      <c r="AM30" s="253"/>
      <c r="AN30" s="253"/>
      <c r="AO30" s="253"/>
      <c r="AP30" s="253"/>
      <c r="AQ30" s="253"/>
      <c r="AR30" s="253"/>
      <c r="AS30" s="253"/>
      <c r="AT30" s="253"/>
      <c r="AU30" s="253"/>
      <c r="AV30" s="253"/>
      <c r="AW30" s="253"/>
      <c r="AX30" s="253"/>
    </row>
    <row r="31" spans="13:62" x14ac:dyDescent="0.25">
      <c r="M31" s="148"/>
      <c r="N31" s="151"/>
      <c r="P31" s="253"/>
      <c r="Q31" s="253"/>
      <c r="R31" s="253"/>
      <c r="S31" s="253"/>
      <c r="T31" s="253"/>
      <c r="U31" s="253"/>
      <c r="V31" s="253"/>
      <c r="W31" s="253"/>
      <c r="X31" s="253"/>
      <c r="Y31" s="253"/>
      <c r="Z31" s="253"/>
      <c r="AA31" s="253"/>
      <c r="AE31" s="151"/>
      <c r="AF31" s="151"/>
      <c r="AG31" s="151"/>
      <c r="AH31" s="151"/>
      <c r="AI31" s="151"/>
      <c r="AJ31" s="151"/>
      <c r="AK31" s="151"/>
      <c r="AL31" s="173"/>
      <c r="AM31" s="253"/>
      <c r="AN31" s="253"/>
      <c r="AO31" s="253"/>
      <c r="AP31" s="253"/>
      <c r="AQ31" s="253"/>
      <c r="AR31" s="253"/>
      <c r="AS31" s="253"/>
      <c r="AT31" s="253"/>
      <c r="AU31" s="253"/>
      <c r="AV31" s="253"/>
      <c r="AW31" s="253"/>
      <c r="AX31" s="253"/>
    </row>
    <row r="32" spans="13:62" x14ac:dyDescent="0.25">
      <c r="M32" s="148"/>
      <c r="N32" s="151"/>
      <c r="P32" s="253"/>
      <c r="Q32" s="253"/>
      <c r="R32" s="253"/>
      <c r="S32" s="253"/>
      <c r="T32" s="253"/>
      <c r="U32" s="253"/>
      <c r="V32" s="253"/>
      <c r="W32" s="253"/>
      <c r="X32" s="253"/>
      <c r="Y32" s="253"/>
      <c r="Z32" s="253"/>
      <c r="AA32" s="253"/>
      <c r="AE32" s="151"/>
      <c r="AF32" s="151"/>
      <c r="AG32" s="151"/>
      <c r="AH32" s="151"/>
      <c r="AI32" s="151"/>
      <c r="AJ32" s="151"/>
      <c r="AK32" s="151"/>
      <c r="AL32" s="173"/>
      <c r="AM32" s="253"/>
      <c r="AN32" s="253"/>
      <c r="AO32" s="253"/>
      <c r="AP32" s="253"/>
      <c r="AQ32" s="253"/>
      <c r="AR32" s="253"/>
      <c r="AS32" s="253"/>
      <c r="AT32" s="253"/>
      <c r="AU32" s="253"/>
      <c r="AV32" s="253"/>
      <c r="AW32" s="253"/>
      <c r="AX32" s="253"/>
    </row>
    <row r="33" spans="13:51" x14ac:dyDescent="0.25">
      <c r="M33" s="148"/>
      <c r="N33" s="151"/>
      <c r="P33" s="253"/>
      <c r="Q33" s="253"/>
      <c r="R33" s="253"/>
      <c r="S33" s="253"/>
      <c r="T33" s="253"/>
      <c r="U33" s="253"/>
      <c r="V33" s="253"/>
      <c r="W33" s="253"/>
      <c r="X33" s="253"/>
      <c r="Y33" s="253"/>
      <c r="Z33" s="253"/>
      <c r="AA33" s="253"/>
      <c r="AE33" s="151"/>
      <c r="AF33" s="151"/>
      <c r="AG33" s="151"/>
      <c r="AH33" s="151"/>
      <c r="AI33" s="151"/>
      <c r="AJ33" s="151"/>
      <c r="AK33" s="151"/>
      <c r="AL33" s="173"/>
      <c r="AM33" s="253"/>
      <c r="AN33" s="253"/>
      <c r="AO33" s="253"/>
      <c r="AP33" s="253"/>
      <c r="AQ33" s="253"/>
      <c r="AR33" s="253"/>
      <c r="AS33" s="253"/>
      <c r="AT33" s="253"/>
      <c r="AU33" s="253"/>
      <c r="AV33" s="253"/>
      <c r="AW33" s="253"/>
      <c r="AX33" s="253"/>
    </row>
    <row r="34" spans="13:51" ht="26" x14ac:dyDescent="0.25">
      <c r="M34" s="148"/>
      <c r="N34" s="178" t="s">
        <v>28</v>
      </c>
      <c r="O34" s="173" t="s">
        <v>30</v>
      </c>
      <c r="P34" s="253"/>
      <c r="Q34" s="253"/>
      <c r="R34" s="253"/>
      <c r="S34" s="253"/>
      <c r="T34" s="253"/>
      <c r="U34" s="253"/>
      <c r="V34" s="253"/>
      <c r="W34" s="253"/>
      <c r="X34" s="253"/>
      <c r="Y34" s="253"/>
      <c r="Z34" s="253"/>
      <c r="AA34" s="253"/>
      <c r="AE34" s="178"/>
      <c r="AF34" s="178"/>
      <c r="AG34" s="178"/>
      <c r="AH34" s="178"/>
      <c r="AI34" s="178"/>
      <c r="AJ34" s="178"/>
      <c r="AK34" s="178" t="s">
        <v>28</v>
      </c>
      <c r="AL34" s="173" t="s">
        <v>30</v>
      </c>
      <c r="AM34" s="253"/>
      <c r="AN34" s="253"/>
      <c r="AO34" s="253"/>
      <c r="AP34" s="253"/>
      <c r="AQ34" s="253"/>
      <c r="AR34" s="253"/>
      <c r="AS34" s="253"/>
      <c r="AT34" s="253"/>
      <c r="AU34" s="253"/>
      <c r="AV34" s="253"/>
      <c r="AW34" s="253"/>
      <c r="AX34" s="253"/>
    </row>
    <row r="35" spans="13:51" ht="17.25" customHeight="1" x14ac:dyDescent="0.25">
      <c r="M35" s="148"/>
      <c r="N35" s="151" t="s">
        <v>5</v>
      </c>
      <c r="O35" s="173">
        <v>150000</v>
      </c>
      <c r="P35" s="449">
        <v>0</v>
      </c>
      <c r="Q35" s="449">
        <v>0</v>
      </c>
      <c r="R35" s="449">
        <v>0</v>
      </c>
      <c r="S35" s="449">
        <v>0</v>
      </c>
      <c r="T35" s="449">
        <v>1</v>
      </c>
      <c r="U35" s="449">
        <v>0</v>
      </c>
      <c r="V35" s="449">
        <v>0</v>
      </c>
      <c r="W35" s="449">
        <v>0</v>
      </c>
      <c r="X35" s="449">
        <v>0</v>
      </c>
      <c r="Y35" s="449">
        <v>0</v>
      </c>
      <c r="Z35" s="449">
        <v>0</v>
      </c>
      <c r="AA35" s="449">
        <v>0</v>
      </c>
      <c r="AB35" s="160">
        <f t="shared" ref="AB35:AB39" si="6">SUM(P35:AA35)</f>
        <v>1</v>
      </c>
      <c r="AC35" s="150"/>
      <c r="AD35" s="150"/>
      <c r="AE35" s="151"/>
      <c r="AF35" s="151"/>
      <c r="AG35" s="151"/>
      <c r="AH35" s="151"/>
      <c r="AI35" s="151"/>
      <c r="AJ35" s="151"/>
      <c r="AK35" s="151" t="s">
        <v>5</v>
      </c>
      <c r="AL35" s="173"/>
      <c r="AM35" s="449">
        <v>0</v>
      </c>
      <c r="AN35" s="449">
        <v>0</v>
      </c>
      <c r="AO35" s="449">
        <v>0</v>
      </c>
      <c r="AP35" s="449">
        <v>0</v>
      </c>
      <c r="AQ35" s="449"/>
      <c r="AR35" s="449">
        <v>0</v>
      </c>
      <c r="AS35" s="449">
        <v>0</v>
      </c>
      <c r="AT35" s="449">
        <v>0</v>
      </c>
      <c r="AU35" s="449">
        <v>0</v>
      </c>
      <c r="AV35" s="449">
        <v>0</v>
      </c>
      <c r="AW35" s="449">
        <v>0</v>
      </c>
      <c r="AX35" s="449">
        <v>0</v>
      </c>
      <c r="AY35" s="160">
        <f t="shared" ref="AY35:AY39" si="7">SUM(AM35:AX35)</f>
        <v>0</v>
      </c>
    </row>
    <row r="36" spans="13:51" ht="17.25" customHeight="1" x14ac:dyDescent="0.25">
      <c r="M36" s="148"/>
      <c r="N36" s="151" t="s">
        <v>20</v>
      </c>
      <c r="O36" s="179">
        <f>O30</f>
        <v>28000</v>
      </c>
      <c r="P36" s="242">
        <f t="shared" ref="P36:AA36" si="8">SUMPRODUCT($O19:$O26,P19:P26)/SUM($O19:$O26)</f>
        <v>3.5140562248995984E-2</v>
      </c>
      <c r="Q36" s="242">
        <f t="shared" si="8"/>
        <v>0.44658634538152603</v>
      </c>
      <c r="R36" s="242">
        <f t="shared" si="8"/>
        <v>2.6104417670682726E-2</v>
      </c>
      <c r="S36" s="242">
        <f t="shared" si="8"/>
        <v>2.6104417670682726E-2</v>
      </c>
      <c r="T36" s="242">
        <f t="shared" si="8"/>
        <v>5.923694779116466E-2</v>
      </c>
      <c r="U36" s="242">
        <f t="shared" si="8"/>
        <v>5.6224899598393566E-2</v>
      </c>
      <c r="V36" s="242">
        <f t="shared" si="8"/>
        <v>3.2128514056224897E-2</v>
      </c>
      <c r="W36" s="242">
        <f t="shared" si="8"/>
        <v>2.6104417670682726E-2</v>
      </c>
      <c r="X36" s="242">
        <f t="shared" si="8"/>
        <v>1.104417670682731E-2</v>
      </c>
      <c r="Y36" s="242">
        <f t="shared" si="8"/>
        <v>0.26285140562248999</v>
      </c>
      <c r="Z36" s="242">
        <f t="shared" si="8"/>
        <v>1.3453815261044173E-2</v>
      </c>
      <c r="AA36" s="242">
        <f t="shared" si="8"/>
        <v>5.0200803212851397E-3</v>
      </c>
      <c r="AB36" s="160">
        <f t="shared" si="6"/>
        <v>0.99999999999999989</v>
      </c>
      <c r="AC36" s="150"/>
      <c r="AD36" s="150"/>
      <c r="AE36" s="151"/>
      <c r="AF36" s="151"/>
      <c r="AG36" s="151"/>
      <c r="AH36" s="151"/>
      <c r="AI36" s="151"/>
      <c r="AJ36" s="151"/>
      <c r="AK36" s="151" t="s">
        <v>20</v>
      </c>
      <c r="AL36" s="179">
        <f>AL30</f>
        <v>82000</v>
      </c>
      <c r="AM36" s="242">
        <f t="shared" ref="AM36:AX36" si="9">SUMPRODUCT($O19:$O26,AM19:AM26)/SUM($O19:$O26)</f>
        <v>3.5140562248995984E-2</v>
      </c>
      <c r="AN36" s="242">
        <f t="shared" si="9"/>
        <v>0.37951807228915668</v>
      </c>
      <c r="AO36" s="242">
        <f t="shared" si="9"/>
        <v>2.3092369477911646E-2</v>
      </c>
      <c r="AP36" s="242">
        <f t="shared" si="9"/>
        <v>1.4056224899598391E-2</v>
      </c>
      <c r="AQ36" s="242">
        <f t="shared" si="9"/>
        <v>0</v>
      </c>
      <c r="AR36" s="242">
        <f t="shared" si="9"/>
        <v>6.526104417670682E-2</v>
      </c>
      <c r="AS36" s="242">
        <f t="shared" si="9"/>
        <v>4.1164658634538151E-2</v>
      </c>
      <c r="AT36" s="242">
        <f t="shared" si="9"/>
        <v>1.104417670682731E-2</v>
      </c>
      <c r="AU36" s="242">
        <f t="shared" si="9"/>
        <v>8.0321285140562242E-3</v>
      </c>
      <c r="AV36" s="242">
        <f t="shared" si="9"/>
        <v>0.40421686746987956</v>
      </c>
      <c r="AW36" s="242">
        <f t="shared" si="9"/>
        <v>1.3453815261044173E-2</v>
      </c>
      <c r="AX36" s="242">
        <f t="shared" si="9"/>
        <v>5.0200803212851397E-3</v>
      </c>
      <c r="AY36" s="160">
        <f t="shared" si="7"/>
        <v>1.0000000000000002</v>
      </c>
    </row>
    <row r="37" spans="13:51" ht="17.25" customHeight="1" x14ac:dyDescent="0.25">
      <c r="M37" s="148"/>
      <c r="N37" s="151" t="s">
        <v>21</v>
      </c>
      <c r="O37" s="173">
        <v>20000</v>
      </c>
      <c r="P37" s="449">
        <v>0</v>
      </c>
      <c r="Q37" s="449">
        <v>0</v>
      </c>
      <c r="R37" s="449">
        <v>0</v>
      </c>
      <c r="S37" s="449">
        <v>1</v>
      </c>
      <c r="T37" s="449">
        <v>0</v>
      </c>
      <c r="U37" s="449">
        <v>0</v>
      </c>
      <c r="V37" s="449">
        <v>0</v>
      </c>
      <c r="W37" s="449">
        <v>0</v>
      </c>
      <c r="X37" s="449">
        <v>0</v>
      </c>
      <c r="Y37" s="449">
        <v>0</v>
      </c>
      <c r="Z37" s="449">
        <v>0</v>
      </c>
      <c r="AA37" s="449">
        <v>0</v>
      </c>
      <c r="AB37" s="160">
        <f t="shared" si="6"/>
        <v>1</v>
      </c>
      <c r="AC37" s="150"/>
      <c r="AD37" s="150"/>
      <c r="AE37" s="151"/>
      <c r="AF37" s="151"/>
      <c r="AG37" s="151"/>
      <c r="AH37" s="151"/>
      <c r="AI37" s="151"/>
      <c r="AJ37" s="151"/>
      <c r="AK37" s="151" t="s">
        <v>21</v>
      </c>
      <c r="AL37" s="173">
        <v>20000</v>
      </c>
      <c r="AM37" s="449">
        <v>0</v>
      </c>
      <c r="AN37" s="449">
        <v>0</v>
      </c>
      <c r="AO37" s="449">
        <v>0</v>
      </c>
      <c r="AP37" s="449">
        <v>1</v>
      </c>
      <c r="AQ37" s="449">
        <v>0</v>
      </c>
      <c r="AR37" s="449">
        <v>0</v>
      </c>
      <c r="AS37" s="449">
        <v>0</v>
      </c>
      <c r="AT37" s="449">
        <v>0</v>
      </c>
      <c r="AU37" s="449">
        <v>0</v>
      </c>
      <c r="AV37" s="449">
        <v>0</v>
      </c>
      <c r="AW37" s="449">
        <v>0</v>
      </c>
      <c r="AX37" s="449">
        <v>0</v>
      </c>
      <c r="AY37" s="160">
        <f t="shared" si="7"/>
        <v>1</v>
      </c>
    </row>
    <row r="38" spans="13:51" ht="17.25" customHeight="1" x14ac:dyDescent="0.25">
      <c r="M38" s="148"/>
      <c r="N38" s="151" t="s">
        <v>22</v>
      </c>
      <c r="O38" s="173">
        <v>5000</v>
      </c>
      <c r="P38" s="449">
        <v>0</v>
      </c>
      <c r="Q38" s="449">
        <v>0</v>
      </c>
      <c r="R38" s="449">
        <v>0</v>
      </c>
      <c r="S38" s="449">
        <v>0</v>
      </c>
      <c r="T38" s="449">
        <v>1</v>
      </c>
      <c r="U38" s="449">
        <v>0</v>
      </c>
      <c r="V38" s="449">
        <v>0</v>
      </c>
      <c r="W38" s="449">
        <v>0</v>
      </c>
      <c r="X38" s="449">
        <v>0</v>
      </c>
      <c r="Y38" s="449">
        <v>0</v>
      </c>
      <c r="Z38" s="449">
        <v>0</v>
      </c>
      <c r="AA38" s="449">
        <v>0</v>
      </c>
      <c r="AB38" s="160">
        <f t="shared" si="6"/>
        <v>1</v>
      </c>
      <c r="AC38" s="150"/>
      <c r="AD38" s="150"/>
      <c r="AE38" s="151"/>
      <c r="AF38" s="151"/>
      <c r="AG38" s="151"/>
      <c r="AH38" s="151"/>
      <c r="AI38" s="151"/>
      <c r="AJ38" s="151"/>
      <c r="AK38" s="151" t="s">
        <v>22</v>
      </c>
      <c r="AL38" s="173"/>
      <c r="AM38" s="449">
        <v>0</v>
      </c>
      <c r="AN38" s="449">
        <v>0</v>
      </c>
      <c r="AO38" s="449">
        <v>0</v>
      </c>
      <c r="AP38" s="449">
        <v>0</v>
      </c>
      <c r="AQ38" s="449"/>
      <c r="AR38" s="449">
        <v>0</v>
      </c>
      <c r="AS38" s="449">
        <v>0</v>
      </c>
      <c r="AT38" s="449">
        <v>0</v>
      </c>
      <c r="AU38" s="449">
        <v>0</v>
      </c>
      <c r="AV38" s="449">
        <v>0</v>
      </c>
      <c r="AW38" s="449">
        <v>0</v>
      </c>
      <c r="AX38" s="449">
        <v>0</v>
      </c>
      <c r="AY38" s="160">
        <f t="shared" si="7"/>
        <v>0</v>
      </c>
    </row>
    <row r="39" spans="13:51" ht="17.25" customHeight="1" x14ac:dyDescent="0.25">
      <c r="M39" s="148"/>
      <c r="N39" s="151" t="s">
        <v>23</v>
      </c>
      <c r="O39" s="173">
        <v>10000</v>
      </c>
      <c r="P39" s="242">
        <f>SUMPRODUCT($O35:$O38,P35:P38)/SUM($O35:$O38)</f>
        <v>4.8469741033097908E-3</v>
      </c>
      <c r="Q39" s="242">
        <f t="shared" ref="Q39:AA39" si="10">SUMPRODUCT($O35:$O38,Q35:Q38)/SUM($O35:$O38)</f>
        <v>6.159811660434842E-2</v>
      </c>
      <c r="R39" s="242">
        <f t="shared" si="10"/>
        <v>3.6006093338872727E-3</v>
      </c>
      <c r="S39" s="242">
        <f t="shared" si="10"/>
        <v>0.102122776821572</v>
      </c>
      <c r="T39" s="242">
        <f t="shared" si="10"/>
        <v>0.77171741151799311</v>
      </c>
      <c r="U39" s="242">
        <f t="shared" si="10"/>
        <v>7.7551585652956634E-3</v>
      </c>
      <c r="V39" s="242">
        <f t="shared" si="10"/>
        <v>4.431519180168951E-3</v>
      </c>
      <c r="W39" s="242">
        <f t="shared" si="10"/>
        <v>3.6006093338872727E-3</v>
      </c>
      <c r="X39" s="242">
        <f t="shared" si="10"/>
        <v>1.5233347181830771E-3</v>
      </c>
      <c r="Y39" s="242">
        <f t="shared" si="10"/>
        <v>3.6255366292757239E-2</v>
      </c>
      <c r="Z39" s="242">
        <f t="shared" si="10"/>
        <v>1.8556986566957482E-3</v>
      </c>
      <c r="AA39" s="242">
        <f t="shared" si="10"/>
        <v>6.924248719013986E-4</v>
      </c>
      <c r="AB39" s="160">
        <f t="shared" si="6"/>
        <v>0.99999999999999989</v>
      </c>
      <c r="AC39" s="150"/>
      <c r="AD39" s="150"/>
      <c r="AE39" s="151"/>
      <c r="AF39" s="151"/>
      <c r="AG39" s="151"/>
      <c r="AH39" s="151"/>
      <c r="AI39" s="151"/>
      <c r="AJ39" s="151"/>
      <c r="AK39" s="151" t="s">
        <v>23</v>
      </c>
      <c r="AL39" s="173"/>
      <c r="AM39" s="242">
        <f>SUMPRODUCT($O35:$O38,AM35:AM38)/SUM($O35:$O38)</f>
        <v>4.8469741033097908E-3</v>
      </c>
      <c r="AN39" s="242">
        <f t="shared" ref="AN39:AX39" si="11">SUMPRODUCT($O35:$O38,AN35:AN38)/SUM($O35:$O38)</f>
        <v>5.2347320315745745E-2</v>
      </c>
      <c r="AO39" s="242">
        <f t="shared" si="11"/>
        <v>3.1851544107464338E-3</v>
      </c>
      <c r="AP39" s="242">
        <f t="shared" si="11"/>
        <v>0.10046095712900865</v>
      </c>
      <c r="AQ39" s="242">
        <f t="shared" si="11"/>
        <v>0</v>
      </c>
      <c r="AR39" s="242">
        <f t="shared" si="11"/>
        <v>9.0015233347181811E-3</v>
      </c>
      <c r="AS39" s="242">
        <f t="shared" si="11"/>
        <v>5.6778839495914696E-3</v>
      </c>
      <c r="AT39" s="242">
        <f t="shared" si="11"/>
        <v>1.5233347181830771E-3</v>
      </c>
      <c r="AU39" s="242">
        <f t="shared" si="11"/>
        <v>1.1078797950422378E-3</v>
      </c>
      <c r="AV39" s="242">
        <f t="shared" si="11"/>
        <v>5.5754050685500628E-2</v>
      </c>
      <c r="AW39" s="242">
        <f t="shared" si="11"/>
        <v>1.8556986566957482E-3</v>
      </c>
      <c r="AX39" s="242">
        <f t="shared" si="11"/>
        <v>6.924248719013986E-4</v>
      </c>
      <c r="AY39" s="160">
        <f t="shared" si="7"/>
        <v>0.23645320197044337</v>
      </c>
    </row>
    <row r="40" spans="13:51" x14ac:dyDescent="0.25">
      <c r="M40" s="148"/>
      <c r="N40" s="151"/>
      <c r="P40" s="253"/>
      <c r="Q40" s="253"/>
      <c r="R40" s="253"/>
      <c r="S40" s="253"/>
      <c r="T40" s="253"/>
      <c r="U40" s="253"/>
      <c r="V40" s="253"/>
      <c r="W40" s="253"/>
      <c r="X40" s="253"/>
      <c r="Y40" s="253"/>
      <c r="Z40" s="253"/>
      <c r="AA40" s="253"/>
      <c r="AE40" s="151"/>
      <c r="AF40" s="151"/>
      <c r="AG40" s="151"/>
      <c r="AH40" s="151"/>
      <c r="AI40" s="151"/>
      <c r="AJ40" s="151"/>
      <c r="AK40" s="151"/>
      <c r="AL40" s="173"/>
      <c r="AM40" s="253"/>
      <c r="AN40" s="253"/>
      <c r="AO40" s="253"/>
      <c r="AP40" s="253"/>
      <c r="AQ40" s="253"/>
      <c r="AR40" s="253"/>
      <c r="AS40" s="253"/>
      <c r="AT40" s="253"/>
      <c r="AU40" s="253"/>
      <c r="AV40" s="253"/>
      <c r="AW40" s="253"/>
      <c r="AX40" s="253"/>
    </row>
    <row r="41" spans="13:51" ht="13" x14ac:dyDescent="0.25">
      <c r="M41" s="148"/>
      <c r="N41" s="151" t="s">
        <v>32</v>
      </c>
      <c r="O41" s="179">
        <f>SUM(O35:O39)</f>
        <v>213000</v>
      </c>
      <c r="P41" s="253"/>
      <c r="Q41" s="253"/>
      <c r="R41" s="253"/>
      <c r="S41" s="253"/>
      <c r="T41" s="253"/>
      <c r="U41" s="253"/>
      <c r="V41" s="253"/>
      <c r="W41" s="253"/>
      <c r="X41" s="253"/>
      <c r="Y41" s="253"/>
      <c r="Z41" s="253"/>
      <c r="AA41" s="253"/>
      <c r="AE41" s="151"/>
      <c r="AF41" s="151"/>
      <c r="AG41" s="151"/>
      <c r="AH41" s="151"/>
      <c r="AI41" s="151"/>
      <c r="AJ41" s="151"/>
      <c r="AK41" s="151" t="s">
        <v>32</v>
      </c>
      <c r="AL41" s="179">
        <f>SUM(AL35:AL39)</f>
        <v>102000</v>
      </c>
      <c r="AM41" s="253"/>
      <c r="AN41" s="253"/>
      <c r="AO41" s="253"/>
      <c r="AP41" s="253"/>
      <c r="AQ41" s="253"/>
      <c r="AR41" s="253"/>
      <c r="AS41" s="253"/>
      <c r="AT41" s="253"/>
      <c r="AU41" s="253"/>
      <c r="AV41" s="253"/>
      <c r="AW41" s="253"/>
      <c r="AX41" s="253"/>
    </row>
    <row r="42" spans="13:51" ht="37.5" x14ac:dyDescent="0.25">
      <c r="M42" s="148"/>
      <c r="N42" s="151" t="s">
        <v>35</v>
      </c>
      <c r="O42" s="176">
        <f>213000/236667</f>
        <v>0.89999873239615158</v>
      </c>
      <c r="P42" s="253"/>
      <c r="Q42" s="253"/>
      <c r="R42" s="253"/>
      <c r="S42" s="253"/>
      <c r="T42" s="253"/>
      <c r="U42" s="253"/>
      <c r="V42" s="253"/>
      <c r="W42" s="253"/>
      <c r="X42" s="253"/>
      <c r="Y42" s="253"/>
      <c r="Z42" s="253"/>
      <c r="AA42" s="253"/>
      <c r="AE42" s="151"/>
      <c r="AF42" s="151"/>
      <c r="AG42" s="151"/>
      <c r="AH42" s="151"/>
      <c r="AI42" s="151"/>
      <c r="AJ42" s="151"/>
      <c r="AK42" s="151" t="s">
        <v>35</v>
      </c>
      <c r="AL42" s="176">
        <f>213000/236667</f>
        <v>0.89999873239615158</v>
      </c>
      <c r="AM42" s="253"/>
      <c r="AN42" s="253"/>
      <c r="AO42" s="253"/>
      <c r="AP42" s="253"/>
      <c r="AQ42" s="253"/>
      <c r="AR42" s="253"/>
      <c r="AS42" s="253"/>
      <c r="AT42" s="253"/>
      <c r="AU42" s="253"/>
      <c r="AV42" s="253"/>
      <c r="AW42" s="253"/>
      <c r="AX42" s="253"/>
    </row>
    <row r="43" spans="13:51" ht="37.5" x14ac:dyDescent="0.25">
      <c r="M43" s="148"/>
      <c r="N43" s="151" t="s">
        <v>36</v>
      </c>
      <c r="O43" s="179">
        <f>O41/O42</f>
        <v>236667</v>
      </c>
      <c r="P43" s="253"/>
      <c r="Q43" s="253"/>
      <c r="R43" s="253"/>
      <c r="S43" s="253"/>
      <c r="T43" s="253"/>
      <c r="U43" s="253"/>
      <c r="V43" s="253"/>
      <c r="W43" s="253"/>
      <c r="X43" s="253"/>
      <c r="Y43" s="253"/>
      <c r="Z43" s="253"/>
      <c r="AA43" s="253"/>
      <c r="AE43" s="151"/>
      <c r="AF43" s="151"/>
      <c r="AG43" s="151"/>
      <c r="AH43" s="151"/>
      <c r="AI43" s="151"/>
      <c r="AJ43" s="151"/>
      <c r="AK43" s="151" t="s">
        <v>36</v>
      </c>
      <c r="AL43" s="179">
        <f>AL41/AL42</f>
        <v>113333.49295774648</v>
      </c>
      <c r="AM43" s="253"/>
      <c r="AN43" s="253"/>
      <c r="AO43" s="253"/>
      <c r="AP43" s="253"/>
      <c r="AQ43" s="253"/>
      <c r="AR43" s="253"/>
      <c r="AS43" s="253"/>
      <c r="AT43" s="253"/>
      <c r="AU43" s="253"/>
      <c r="AV43" s="253"/>
      <c r="AW43" s="253"/>
      <c r="AX43" s="253"/>
    </row>
    <row r="44" spans="13:51" x14ac:dyDescent="0.25">
      <c r="M44" s="148"/>
      <c r="N44" s="151"/>
      <c r="P44" s="253"/>
      <c r="Q44" s="253"/>
      <c r="R44" s="253"/>
      <c r="S44" s="253"/>
      <c r="T44" s="253"/>
      <c r="U44" s="253"/>
      <c r="V44" s="253"/>
      <c r="W44" s="253"/>
      <c r="X44" s="253"/>
      <c r="Y44" s="253"/>
      <c r="Z44" s="253"/>
      <c r="AA44" s="253"/>
      <c r="AE44" s="151"/>
      <c r="AF44" s="151"/>
      <c r="AG44" s="151"/>
      <c r="AH44" s="151"/>
      <c r="AI44" s="151"/>
      <c r="AJ44" s="151"/>
      <c r="AK44" s="151"/>
      <c r="AL44" s="173"/>
      <c r="AM44" s="253"/>
      <c r="AN44" s="253"/>
      <c r="AO44" s="253"/>
      <c r="AP44" s="253"/>
      <c r="AQ44" s="253"/>
      <c r="AR44" s="253"/>
      <c r="AS44" s="253"/>
      <c r="AT44" s="253"/>
      <c r="AU44" s="253"/>
      <c r="AV44" s="253"/>
      <c r="AW44" s="253"/>
      <c r="AX44" s="253"/>
    </row>
    <row r="45" spans="13:51" ht="26" x14ac:dyDescent="0.25">
      <c r="M45" s="148"/>
      <c r="N45" s="178" t="s">
        <v>29</v>
      </c>
      <c r="O45" s="173" t="s">
        <v>30</v>
      </c>
      <c r="P45" s="253"/>
      <c r="Q45" s="253"/>
      <c r="R45" s="253"/>
      <c r="S45" s="253"/>
      <c r="T45" s="253"/>
      <c r="U45" s="253"/>
      <c r="V45" s="253"/>
      <c r="W45" s="253"/>
      <c r="X45" s="253"/>
      <c r="Y45" s="253"/>
      <c r="Z45" s="253"/>
      <c r="AA45" s="253"/>
      <c r="AE45" s="178"/>
      <c r="AF45" s="178"/>
      <c r="AG45" s="178"/>
      <c r="AH45" s="178"/>
      <c r="AI45" s="178"/>
      <c r="AJ45" s="178"/>
      <c r="AK45" s="178" t="s">
        <v>29</v>
      </c>
      <c r="AL45" s="173" t="s">
        <v>30</v>
      </c>
      <c r="AM45" s="253"/>
      <c r="AN45" s="253"/>
      <c r="AO45" s="253"/>
      <c r="AP45" s="253"/>
      <c r="AQ45" s="253"/>
      <c r="AR45" s="253"/>
      <c r="AS45" s="253"/>
      <c r="AT45" s="253"/>
      <c r="AU45" s="253"/>
      <c r="AV45" s="253"/>
      <c r="AW45" s="253"/>
      <c r="AX45" s="253"/>
    </row>
    <row r="46" spans="13:51" ht="23.25" customHeight="1" x14ac:dyDescent="0.25">
      <c r="M46" s="148"/>
      <c r="N46" s="151" t="s">
        <v>24</v>
      </c>
      <c r="O46" s="173">
        <v>80000</v>
      </c>
      <c r="P46" s="446">
        <v>0</v>
      </c>
      <c r="Q46" s="446">
        <v>0</v>
      </c>
      <c r="R46" s="446">
        <v>0</v>
      </c>
      <c r="S46" s="446">
        <v>0</v>
      </c>
      <c r="T46" s="446">
        <v>0</v>
      </c>
      <c r="U46" s="446">
        <v>0</v>
      </c>
      <c r="V46" s="446">
        <v>0</v>
      </c>
      <c r="W46" s="446">
        <v>0</v>
      </c>
      <c r="X46" s="446">
        <v>0.2</v>
      </c>
      <c r="Y46" s="446">
        <v>0</v>
      </c>
      <c r="Z46" s="446">
        <v>0</v>
      </c>
      <c r="AA46" s="446">
        <v>0.8</v>
      </c>
      <c r="AB46" s="175">
        <f>SUM(P46:AA46)</f>
        <v>1</v>
      </c>
      <c r="AE46" s="151"/>
      <c r="AF46" s="151"/>
      <c r="AG46" s="151"/>
      <c r="AH46" s="151"/>
      <c r="AI46" s="151"/>
      <c r="AJ46" s="151"/>
      <c r="AK46" s="151" t="s">
        <v>24</v>
      </c>
      <c r="AL46" s="173">
        <v>80000</v>
      </c>
      <c r="AM46" s="446">
        <v>0</v>
      </c>
      <c r="AN46" s="446">
        <v>0</v>
      </c>
      <c r="AO46" s="446">
        <v>0</v>
      </c>
      <c r="AP46" s="446">
        <v>0</v>
      </c>
      <c r="AQ46" s="446">
        <v>0</v>
      </c>
      <c r="AR46" s="446">
        <v>0</v>
      </c>
      <c r="AS46" s="446">
        <v>0</v>
      </c>
      <c r="AT46" s="446">
        <v>0</v>
      </c>
      <c r="AU46" s="446">
        <v>0.2</v>
      </c>
      <c r="AV46" s="446">
        <v>0</v>
      </c>
      <c r="AW46" s="446">
        <v>0</v>
      </c>
      <c r="AX46" s="446">
        <v>0.8</v>
      </c>
      <c r="AY46" s="175">
        <f>SUM(AM46:AX46)</f>
        <v>1</v>
      </c>
    </row>
    <row r="47" spans="13:51" ht="29.25" customHeight="1" x14ac:dyDescent="0.25">
      <c r="M47" s="148"/>
      <c r="N47" s="151" t="s">
        <v>38</v>
      </c>
      <c r="O47" s="173">
        <v>25000</v>
      </c>
      <c r="P47" s="446">
        <v>0.02</v>
      </c>
      <c r="Q47" s="446">
        <v>0.16</v>
      </c>
      <c r="R47" s="446">
        <v>0.08</v>
      </c>
      <c r="S47" s="446">
        <v>0.08</v>
      </c>
      <c r="T47" s="446">
        <v>0.16</v>
      </c>
      <c r="U47" s="446">
        <v>0.08</v>
      </c>
      <c r="V47" s="446">
        <v>0.08</v>
      </c>
      <c r="W47" s="446">
        <v>0.08</v>
      </c>
      <c r="X47" s="446">
        <v>0.04</v>
      </c>
      <c r="Y47" s="446">
        <v>0.16</v>
      </c>
      <c r="Z47" s="446">
        <v>0.04</v>
      </c>
      <c r="AA47" s="446">
        <v>0.02</v>
      </c>
      <c r="AB47" s="175">
        <f t="shared" ref="AB47:AB49" si="12">SUM(P47:AA47)</f>
        <v>1</v>
      </c>
      <c r="AE47" s="151"/>
      <c r="AF47" s="151"/>
      <c r="AG47" s="151"/>
      <c r="AH47" s="151"/>
      <c r="AI47" s="151"/>
      <c r="AJ47" s="151"/>
      <c r="AK47" s="151" t="s">
        <v>38</v>
      </c>
      <c r="AL47" s="173">
        <v>25000</v>
      </c>
      <c r="AM47" s="446">
        <v>0.02</v>
      </c>
      <c r="AN47" s="446">
        <v>0.2</v>
      </c>
      <c r="AO47" s="446">
        <v>0.08</v>
      </c>
      <c r="AP47" s="446">
        <v>0.02</v>
      </c>
      <c r="AQ47" s="446"/>
      <c r="AR47" s="446">
        <v>0.08</v>
      </c>
      <c r="AS47" s="446">
        <v>0.08</v>
      </c>
      <c r="AT47" s="446">
        <v>0.08</v>
      </c>
      <c r="AU47" s="446">
        <v>0.1</v>
      </c>
      <c r="AV47" s="446">
        <v>0.22</v>
      </c>
      <c r="AW47" s="446">
        <v>0.1</v>
      </c>
      <c r="AX47" s="446">
        <v>0.02</v>
      </c>
      <c r="AY47" s="175">
        <f t="shared" ref="AY47:AY49" si="13">SUM(AM47:AX47)</f>
        <v>1</v>
      </c>
    </row>
    <row r="48" spans="13:51" ht="15.75" customHeight="1" x14ac:dyDescent="0.25">
      <c r="M48" s="148"/>
      <c r="N48" s="151" t="s">
        <v>25</v>
      </c>
      <c r="O48" s="173">
        <v>3000</v>
      </c>
      <c r="P48" s="446">
        <f t="shared" ref="P48:AA49" si="14">1/COUNTA($P$17:$AA$17)</f>
        <v>8.3333333333333329E-2</v>
      </c>
      <c r="Q48" s="446">
        <f t="shared" si="14"/>
        <v>8.3333333333333329E-2</v>
      </c>
      <c r="R48" s="446">
        <f t="shared" si="14"/>
        <v>8.3333333333333329E-2</v>
      </c>
      <c r="S48" s="446">
        <f t="shared" si="14"/>
        <v>8.3333333333333329E-2</v>
      </c>
      <c r="T48" s="446">
        <f t="shared" si="14"/>
        <v>8.3333333333333329E-2</v>
      </c>
      <c r="U48" s="446">
        <f t="shared" si="14"/>
        <v>8.3333333333333329E-2</v>
      </c>
      <c r="V48" s="446">
        <f t="shared" si="14"/>
        <v>8.3333333333333329E-2</v>
      </c>
      <c r="W48" s="446">
        <f t="shared" si="14"/>
        <v>8.3333333333333329E-2</v>
      </c>
      <c r="X48" s="446">
        <f t="shared" si="14"/>
        <v>8.3333333333333329E-2</v>
      </c>
      <c r="Y48" s="446">
        <f t="shared" si="14"/>
        <v>8.3333333333333329E-2</v>
      </c>
      <c r="Z48" s="446">
        <f t="shared" si="14"/>
        <v>8.3333333333333329E-2</v>
      </c>
      <c r="AA48" s="446">
        <f t="shared" si="14"/>
        <v>8.3333333333333329E-2</v>
      </c>
      <c r="AB48" s="175">
        <f t="shared" si="12"/>
        <v>1</v>
      </c>
      <c r="AE48" s="151"/>
      <c r="AF48" s="151"/>
      <c r="AG48" s="151"/>
      <c r="AH48" s="151"/>
      <c r="AI48" s="151"/>
      <c r="AJ48" s="151"/>
      <c r="AK48" s="151" t="s">
        <v>25</v>
      </c>
      <c r="AL48" s="173">
        <v>3000</v>
      </c>
      <c r="AM48" s="446">
        <f t="shared" ref="AM48:AX49" si="15">1/COUNTA($P$17:$AA$17)</f>
        <v>8.3333333333333329E-2</v>
      </c>
      <c r="AN48" s="446">
        <f t="shared" si="15"/>
        <v>8.3333333333333329E-2</v>
      </c>
      <c r="AO48" s="446">
        <f t="shared" si="15"/>
        <v>8.3333333333333329E-2</v>
      </c>
      <c r="AP48" s="446">
        <v>0.02</v>
      </c>
      <c r="AQ48" s="446"/>
      <c r="AR48" s="446">
        <v>0.03</v>
      </c>
      <c r="AS48" s="446">
        <f t="shared" si="15"/>
        <v>8.3333333333333329E-2</v>
      </c>
      <c r="AT48" s="446">
        <f t="shared" si="15"/>
        <v>8.3333333333333329E-2</v>
      </c>
      <c r="AU48" s="446">
        <f t="shared" si="15"/>
        <v>8.3333333333333329E-2</v>
      </c>
      <c r="AV48" s="446">
        <v>0.2</v>
      </c>
      <c r="AW48" s="446">
        <v>0.17</v>
      </c>
      <c r="AX48" s="446">
        <f t="shared" si="15"/>
        <v>8.3333333333333329E-2</v>
      </c>
      <c r="AY48" s="175">
        <f t="shared" si="13"/>
        <v>1.0033333333333334</v>
      </c>
    </row>
    <row r="49" spans="13:51" ht="15.75" customHeight="1" x14ac:dyDescent="0.25">
      <c r="M49" s="148"/>
      <c r="N49" s="151" t="s">
        <v>26</v>
      </c>
      <c r="O49" s="173">
        <v>10000</v>
      </c>
      <c r="P49" s="446">
        <f t="shared" si="14"/>
        <v>8.3333333333333329E-2</v>
      </c>
      <c r="Q49" s="446">
        <f t="shared" si="14"/>
        <v>8.3333333333333329E-2</v>
      </c>
      <c r="R49" s="446">
        <f t="shared" si="14"/>
        <v>8.3333333333333329E-2</v>
      </c>
      <c r="S49" s="446">
        <f t="shared" si="14"/>
        <v>8.3333333333333329E-2</v>
      </c>
      <c r="T49" s="446">
        <f t="shared" si="14"/>
        <v>8.3333333333333329E-2</v>
      </c>
      <c r="U49" s="446">
        <f t="shared" si="14"/>
        <v>8.3333333333333329E-2</v>
      </c>
      <c r="V49" s="446">
        <f t="shared" si="14"/>
        <v>8.3333333333333329E-2</v>
      </c>
      <c r="W49" s="446">
        <f t="shared" si="14"/>
        <v>8.3333333333333329E-2</v>
      </c>
      <c r="X49" s="446">
        <f t="shared" si="14"/>
        <v>8.3333333333333329E-2</v>
      </c>
      <c r="Y49" s="446">
        <f t="shared" si="14"/>
        <v>8.3333333333333329E-2</v>
      </c>
      <c r="Z49" s="446">
        <f t="shared" si="14"/>
        <v>8.3333333333333329E-2</v>
      </c>
      <c r="AA49" s="446">
        <f t="shared" si="14"/>
        <v>8.3333333333333329E-2</v>
      </c>
      <c r="AB49" s="175">
        <f t="shared" si="12"/>
        <v>1</v>
      </c>
      <c r="AE49" s="151"/>
      <c r="AF49" s="151"/>
      <c r="AG49" s="151"/>
      <c r="AH49" s="151"/>
      <c r="AI49" s="151"/>
      <c r="AJ49" s="151"/>
      <c r="AK49" s="151" t="s">
        <v>26</v>
      </c>
      <c r="AL49" s="173">
        <v>10000</v>
      </c>
      <c r="AM49" s="446">
        <f t="shared" si="15"/>
        <v>8.3333333333333329E-2</v>
      </c>
      <c r="AN49" s="446">
        <f t="shared" si="15"/>
        <v>8.3333333333333329E-2</v>
      </c>
      <c r="AO49" s="446">
        <f t="shared" si="15"/>
        <v>8.3333333333333329E-2</v>
      </c>
      <c r="AP49" s="446">
        <v>0.02</v>
      </c>
      <c r="AQ49" s="446"/>
      <c r="AR49" s="446">
        <f t="shared" si="15"/>
        <v>8.3333333333333329E-2</v>
      </c>
      <c r="AS49" s="446">
        <f t="shared" si="15"/>
        <v>8.3333333333333329E-2</v>
      </c>
      <c r="AT49" s="446">
        <f t="shared" si="15"/>
        <v>8.3333333333333329E-2</v>
      </c>
      <c r="AU49" s="446">
        <f t="shared" si="15"/>
        <v>8.3333333333333329E-2</v>
      </c>
      <c r="AV49" s="446">
        <f t="shared" si="15"/>
        <v>8.3333333333333329E-2</v>
      </c>
      <c r="AW49" s="446">
        <v>0.23</v>
      </c>
      <c r="AX49" s="446">
        <f t="shared" si="15"/>
        <v>8.3333333333333329E-2</v>
      </c>
      <c r="AY49" s="175">
        <f t="shared" si="13"/>
        <v>1</v>
      </c>
    </row>
    <row r="50" spans="13:51" ht="21" customHeight="1" x14ac:dyDescent="0.25">
      <c r="M50" s="148"/>
      <c r="N50" s="151" t="s">
        <v>31</v>
      </c>
      <c r="O50" s="179">
        <f>SUM(O46:O49)</f>
        <v>118000</v>
      </c>
      <c r="AE50" s="151"/>
      <c r="AF50" s="151"/>
      <c r="AG50" s="151"/>
      <c r="AH50" s="151"/>
      <c r="AI50" s="151"/>
      <c r="AJ50" s="151"/>
      <c r="AK50" s="151" t="s">
        <v>31</v>
      </c>
      <c r="AL50" s="179">
        <f>SUM(AL46:AL49)</f>
        <v>118000</v>
      </c>
    </row>
    <row r="51" spans="13:51" ht="21" customHeight="1" x14ac:dyDescent="0.25">
      <c r="M51" s="148"/>
      <c r="N51" s="151"/>
      <c r="O51" s="179"/>
      <c r="AE51" s="151"/>
      <c r="AF51" s="151"/>
      <c r="AG51" s="151"/>
      <c r="AH51" s="151"/>
      <c r="AI51" s="151"/>
      <c r="AJ51" s="151"/>
      <c r="AK51" s="151"/>
      <c r="AL51" s="179"/>
    </row>
    <row r="52" spans="13:51" ht="21" customHeight="1" x14ac:dyDescent="0.25">
      <c r="M52" s="148"/>
      <c r="N52" s="151"/>
      <c r="O52" s="179"/>
      <c r="AE52" s="151"/>
      <c r="AF52" s="151"/>
      <c r="AG52" s="151"/>
      <c r="AH52" s="151"/>
      <c r="AI52" s="151"/>
      <c r="AJ52" s="151"/>
      <c r="AK52" s="151"/>
      <c r="AL52" s="179"/>
    </row>
    <row r="53" spans="13:51" ht="21" customHeight="1" x14ac:dyDescent="0.25">
      <c r="M53" s="148"/>
      <c r="N53" s="151"/>
      <c r="O53" s="179"/>
      <c r="AE53" s="151"/>
      <c r="AF53" s="151"/>
      <c r="AG53" s="151"/>
      <c r="AH53" s="151"/>
      <c r="AI53" s="151"/>
      <c r="AJ53" s="151"/>
      <c r="AK53" s="151"/>
      <c r="AL53" s="179"/>
    </row>
    <row r="54" spans="13:51" ht="21" customHeight="1" x14ac:dyDescent="0.25">
      <c r="M54" s="148"/>
      <c r="N54" s="151"/>
      <c r="O54" s="179"/>
      <c r="AE54" s="151"/>
      <c r="AF54" s="151"/>
      <c r="AG54" s="151"/>
      <c r="AH54" s="151"/>
      <c r="AI54" s="151"/>
      <c r="AJ54" s="151"/>
      <c r="AK54" s="151"/>
      <c r="AL54" s="179"/>
    </row>
    <row r="55" spans="13:51" x14ac:dyDescent="0.25">
      <c r="M55" s="148"/>
      <c r="N55" s="151"/>
      <c r="AE55" s="151"/>
      <c r="AF55" s="151"/>
      <c r="AG55" s="151"/>
      <c r="AH55" s="151"/>
      <c r="AI55" s="151"/>
      <c r="AJ55" s="151"/>
      <c r="AK55" s="151"/>
      <c r="AL55" s="173"/>
    </row>
    <row r="56" spans="13:51" x14ac:dyDescent="0.25">
      <c r="M56" s="148"/>
      <c r="N56" s="151"/>
      <c r="AE56" s="151"/>
      <c r="AF56" s="151"/>
      <c r="AG56" s="151"/>
      <c r="AH56" s="151"/>
      <c r="AI56" s="151"/>
      <c r="AJ56" s="151"/>
      <c r="AK56" s="151"/>
      <c r="AL56" s="173"/>
    </row>
    <row r="57" spans="13:51" x14ac:dyDescent="0.25">
      <c r="M57" s="148"/>
      <c r="N57" s="151"/>
      <c r="AE57" s="151"/>
      <c r="AF57" s="151"/>
      <c r="AG57" s="151"/>
      <c r="AH57" s="151"/>
      <c r="AI57" s="151"/>
      <c r="AJ57" s="151"/>
      <c r="AK57" s="151"/>
      <c r="AL57" s="173"/>
    </row>
    <row r="58" spans="13:51" x14ac:dyDescent="0.25">
      <c r="M58" s="148"/>
      <c r="N58" s="151"/>
      <c r="AE58" s="151"/>
      <c r="AF58" s="151"/>
      <c r="AG58" s="151"/>
      <c r="AH58" s="151"/>
      <c r="AI58" s="151"/>
      <c r="AJ58" s="151"/>
      <c r="AK58" s="151"/>
      <c r="AL58" s="173"/>
    </row>
    <row r="59" spans="13:51" ht="37.5" x14ac:dyDescent="0.25">
      <c r="M59" s="148"/>
      <c r="N59" s="151" t="s">
        <v>39</v>
      </c>
      <c r="O59" s="179">
        <f>O43</f>
        <v>236667</v>
      </c>
      <c r="P59" s="242">
        <f t="shared" ref="P59:AA59" si="16">(SUMPRODUCT(P35:P39,$O$35:$O$39)/$O$42)/$O$59</f>
        <v>4.8469741033097908E-3</v>
      </c>
      <c r="Q59" s="242">
        <f t="shared" si="16"/>
        <v>6.159811660434842E-2</v>
      </c>
      <c r="R59" s="242">
        <f t="shared" si="16"/>
        <v>3.6006093338872723E-3</v>
      </c>
      <c r="S59" s="242">
        <f t="shared" si="16"/>
        <v>0.102122776821572</v>
      </c>
      <c r="T59" s="242">
        <f t="shared" si="16"/>
        <v>0.77171741151799311</v>
      </c>
      <c r="U59" s="242">
        <f t="shared" si="16"/>
        <v>7.7551585652956634E-3</v>
      </c>
      <c r="V59" s="242">
        <f t="shared" si="16"/>
        <v>4.431519180168951E-3</v>
      </c>
      <c r="W59" s="242">
        <f t="shared" si="16"/>
        <v>3.6006093338872723E-3</v>
      </c>
      <c r="X59" s="242">
        <f t="shared" si="16"/>
        <v>1.5233347181830771E-3</v>
      </c>
      <c r="Y59" s="242">
        <f t="shared" si="16"/>
        <v>3.6255366292757239E-2</v>
      </c>
      <c r="Z59" s="242">
        <f t="shared" si="16"/>
        <v>1.8556986566957484E-3</v>
      </c>
      <c r="AA59" s="242">
        <f t="shared" si="16"/>
        <v>6.9242487190139849E-4</v>
      </c>
      <c r="AB59" s="175">
        <f t="shared" ref="AB59:AB61" si="17">SUM(P59:AA59)</f>
        <v>0.99999999999999989</v>
      </c>
      <c r="AE59" s="151"/>
      <c r="AF59" s="151"/>
      <c r="AG59" s="151"/>
      <c r="AH59" s="151"/>
      <c r="AI59" s="151"/>
      <c r="AJ59" s="151"/>
      <c r="AK59" s="151" t="s">
        <v>39</v>
      </c>
      <c r="AL59" s="179">
        <f>AL43</f>
        <v>113333.49295774648</v>
      </c>
      <c r="AM59" s="242">
        <f t="shared" ref="AM59:AX59" si="18">(SUMPRODUCT(AM35:AM39,$AL$35:$AL$39)/$AL$42)/$AL$59</f>
        <v>2.8250255925663437E-2</v>
      </c>
      <c r="AN59" s="242">
        <f t="shared" si="18"/>
        <v>0.30510276399716518</v>
      </c>
      <c r="AO59" s="242">
        <f t="shared" si="18"/>
        <v>1.8564453894007401E-2</v>
      </c>
      <c r="AP59" s="242">
        <f t="shared" si="18"/>
        <v>0.20737853374281437</v>
      </c>
      <c r="AQ59" s="242">
        <f t="shared" si="18"/>
        <v>0</v>
      </c>
      <c r="AR59" s="242">
        <f t="shared" si="18"/>
        <v>5.2464761004803517E-2</v>
      </c>
      <c r="AS59" s="242">
        <f t="shared" si="18"/>
        <v>3.3093156941491453E-2</v>
      </c>
      <c r="AT59" s="242">
        <f t="shared" si="18"/>
        <v>8.878651862351367E-3</v>
      </c>
      <c r="AU59" s="242">
        <f t="shared" si="18"/>
        <v>6.4572013544373563E-3</v>
      </c>
      <c r="AV59" s="242">
        <f t="shared" si="18"/>
        <v>0.32495865816205999</v>
      </c>
      <c r="AW59" s="242">
        <f t="shared" si="18"/>
        <v>1.0815812268682569E-2</v>
      </c>
      <c r="AX59" s="242">
        <f t="shared" si="18"/>
        <v>4.0357508465233474E-3</v>
      </c>
      <c r="AY59" s="175">
        <f t="shared" ref="AY59:AY61" si="19">SUM(AM59:AX59)</f>
        <v>0.99999999999999989</v>
      </c>
    </row>
    <row r="60" spans="13:51" ht="37.5" x14ac:dyDescent="0.25">
      <c r="M60" s="148"/>
      <c r="N60" s="151" t="s">
        <v>40</v>
      </c>
      <c r="O60" s="179">
        <f>O50</f>
        <v>118000</v>
      </c>
      <c r="P60" s="242">
        <f t="shared" ref="P60:AA60" si="20">SUMPRODUCT(P46:P49,$O$46:$O$49)/$O$60</f>
        <v>1.3418079096045197E-2</v>
      </c>
      <c r="Q60" s="242">
        <f t="shared" si="20"/>
        <v>4.3079096045197739E-2</v>
      </c>
      <c r="R60" s="242">
        <f t="shared" si="20"/>
        <v>2.6129943502824857E-2</v>
      </c>
      <c r="S60" s="242">
        <f t="shared" si="20"/>
        <v>2.6129943502824857E-2</v>
      </c>
      <c r="T60" s="242">
        <f t="shared" si="20"/>
        <v>4.3079096045197739E-2</v>
      </c>
      <c r="U60" s="242">
        <f t="shared" si="20"/>
        <v>2.6129943502824857E-2</v>
      </c>
      <c r="V60" s="242">
        <f t="shared" si="20"/>
        <v>2.6129943502824857E-2</v>
      </c>
      <c r="W60" s="242">
        <f t="shared" si="20"/>
        <v>2.6129943502824857E-2</v>
      </c>
      <c r="X60" s="242">
        <f t="shared" si="20"/>
        <v>0.15324858757062146</v>
      </c>
      <c r="Y60" s="242">
        <f t="shared" si="20"/>
        <v>4.3079096045197739E-2</v>
      </c>
      <c r="Z60" s="242">
        <f t="shared" si="20"/>
        <v>1.7655367231638415E-2</v>
      </c>
      <c r="AA60" s="242">
        <f t="shared" si="20"/>
        <v>0.5557909604519774</v>
      </c>
      <c r="AB60" s="175">
        <f t="shared" si="17"/>
        <v>1</v>
      </c>
      <c r="AE60" s="151"/>
      <c r="AF60" s="151"/>
      <c r="AG60" s="151"/>
      <c r="AH60" s="151"/>
      <c r="AI60" s="151"/>
      <c r="AJ60" s="151"/>
      <c r="AK60" s="151" t="s">
        <v>40</v>
      </c>
      <c r="AL60" s="179">
        <f>AL50</f>
        <v>118000</v>
      </c>
      <c r="AM60" s="242">
        <f t="shared" ref="AM60:AX60" si="21">SUMPRODUCT(AM46:AM49,$AL$46:$AL$49)/$AL$60</f>
        <v>1.3418079096045197E-2</v>
      </c>
      <c r="AN60" s="242">
        <f t="shared" si="21"/>
        <v>5.1553672316384178E-2</v>
      </c>
      <c r="AO60" s="242">
        <f t="shared" si="21"/>
        <v>2.6129943502824857E-2</v>
      </c>
      <c r="AP60" s="242">
        <f t="shared" si="21"/>
        <v>6.4406779661016949E-3</v>
      </c>
      <c r="AQ60" s="242">
        <f t="shared" si="21"/>
        <v>0</v>
      </c>
      <c r="AR60" s="242">
        <f t="shared" si="21"/>
        <v>2.4774011299435024E-2</v>
      </c>
      <c r="AS60" s="242">
        <f t="shared" si="21"/>
        <v>2.6129943502824857E-2</v>
      </c>
      <c r="AT60" s="242">
        <f t="shared" si="21"/>
        <v>2.6129943502824857E-2</v>
      </c>
      <c r="AU60" s="242">
        <f t="shared" si="21"/>
        <v>0.16596045197740111</v>
      </c>
      <c r="AV60" s="242">
        <f t="shared" si="21"/>
        <v>5.875706214689265E-2</v>
      </c>
      <c r="AW60" s="242">
        <f t="shared" si="21"/>
        <v>4.4999999999999998E-2</v>
      </c>
      <c r="AX60" s="242">
        <f t="shared" si="21"/>
        <v>0.5557909604519774</v>
      </c>
      <c r="AY60" s="175">
        <f t="shared" si="19"/>
        <v>1.0000847457627118</v>
      </c>
    </row>
    <row r="61" spans="13:51" ht="37.5" x14ac:dyDescent="0.25">
      <c r="M61" s="148"/>
      <c r="N61" s="151" t="s">
        <v>37</v>
      </c>
      <c r="O61" s="179">
        <f>O43+O50</f>
        <v>354667</v>
      </c>
      <c r="P61" s="242">
        <f t="shared" ref="P61:AA61" si="22">(SUMPRODUCT(P35:P39,$O$35:$O$39)/$O$42+SUMPRODUCT(P46:P49,$O$46:$O$49))/$O$61</f>
        <v>7.6986360542180459E-3</v>
      </c>
      <c r="Q61" s="242">
        <f t="shared" si="22"/>
        <v>5.5436718938425791E-2</v>
      </c>
      <c r="R61" s="242">
        <f t="shared" si="22"/>
        <v>1.1096264221245371E-2</v>
      </c>
      <c r="S61" s="242">
        <f t="shared" si="22"/>
        <v>7.6839470701712625E-2</v>
      </c>
      <c r="T61" s="242">
        <f t="shared" si="22"/>
        <v>0.52929474116583219</v>
      </c>
      <c r="U61" s="242">
        <f t="shared" si="22"/>
        <v>1.3868568108975916E-2</v>
      </c>
      <c r="V61" s="242">
        <f t="shared" si="22"/>
        <v>1.1650724998791481E-2</v>
      </c>
      <c r="W61" s="242">
        <f t="shared" si="22"/>
        <v>1.1096264221245371E-2</v>
      </c>
      <c r="X61" s="242">
        <f t="shared" si="22"/>
        <v>5.2003305610845006E-2</v>
      </c>
      <c r="Y61" s="242">
        <f t="shared" si="22"/>
        <v>3.8525665223269459E-2</v>
      </c>
      <c r="Z61" s="242">
        <f t="shared" si="22"/>
        <v>7.1123503661675485E-3</v>
      </c>
      <c r="AA61" s="242">
        <f t="shared" si="22"/>
        <v>0.18537729038927112</v>
      </c>
      <c r="AB61" s="175">
        <f t="shared" si="17"/>
        <v>0.99999999999999989</v>
      </c>
      <c r="AE61" s="151"/>
      <c r="AF61" s="151"/>
      <c r="AG61" s="151"/>
      <c r="AH61" s="151"/>
      <c r="AI61" s="151"/>
      <c r="AJ61" s="151"/>
      <c r="AK61" s="151" t="s">
        <v>37</v>
      </c>
      <c r="AL61" s="179">
        <f>AL43+AL50</f>
        <v>231333.49295774649</v>
      </c>
      <c r="AM61" s="242">
        <f t="shared" ref="AM61:AX61" si="23">(SUMPRODUCT(AM35:AM39,$AL$35:$AL$39)/$AL$42+SUMPRODUCT(AM46:AM49,$AL$46:$AL$49))/$AL$61</f>
        <v>2.0684568642263319E-2</v>
      </c>
      <c r="AN61" s="242">
        <f t="shared" si="23"/>
        <v>0.17577089581067268</v>
      </c>
      <c r="AO61" s="242">
        <f t="shared" si="23"/>
        <v>2.2423505008596838E-2</v>
      </c>
      <c r="AP61" s="242">
        <f t="shared" si="23"/>
        <v>0.10488292587170123</v>
      </c>
      <c r="AQ61" s="242">
        <f t="shared" si="23"/>
        <v>0</v>
      </c>
      <c r="AR61" s="242">
        <f t="shared" si="23"/>
        <v>3.8340094388412183E-2</v>
      </c>
      <c r="AS61" s="242">
        <f t="shared" si="23"/>
        <v>2.9541318531682216E-2</v>
      </c>
      <c r="AT61" s="242">
        <f t="shared" si="23"/>
        <v>1.767829599320659E-2</v>
      </c>
      <c r="AU61" s="242">
        <f t="shared" si="23"/>
        <v>8.7817592938320477E-2</v>
      </c>
      <c r="AV61" s="242">
        <f t="shared" si="23"/>
        <v>0.18917292334186614</v>
      </c>
      <c r="AW61" s="242">
        <f t="shared" si="23"/>
        <v>2.8252691385154589E-2</v>
      </c>
      <c r="AX61" s="242">
        <f t="shared" si="23"/>
        <v>0.28547841572400179</v>
      </c>
      <c r="AY61" s="175">
        <f t="shared" si="19"/>
        <v>1.0000432276358782</v>
      </c>
    </row>
    <row r="62" spans="13:51" x14ac:dyDescent="0.25">
      <c r="M62" s="148"/>
      <c r="N62" s="151"/>
      <c r="AE62" s="151"/>
      <c r="AF62" s="151"/>
      <c r="AG62" s="151"/>
      <c r="AH62" s="151"/>
      <c r="AI62" s="151"/>
      <c r="AJ62" s="151"/>
      <c r="AK62" s="151"/>
      <c r="AL62" s="173"/>
    </row>
    <row r="63" spans="13:51" x14ac:dyDescent="0.25">
      <c r="M63" s="148"/>
    </row>
    <row r="64" spans="13:51" x14ac:dyDescent="0.25">
      <c r="M64" s="148"/>
    </row>
    <row r="65" spans="11:53" ht="13" x14ac:dyDescent="0.3">
      <c r="K65" s="177" t="str">
        <f>B7</f>
        <v>3) From literature review, import figures for best-practice energy use at a full-facility plant</v>
      </c>
      <c r="M65" s="148"/>
    </row>
    <row r="66" spans="11:53" x14ac:dyDescent="0.25">
      <c r="M66" s="253"/>
      <c r="N66" s="253"/>
      <c r="O66" s="253"/>
      <c r="P66" s="253"/>
      <c r="AJ66" s="253"/>
      <c r="AK66" s="253"/>
      <c r="AL66" s="253"/>
      <c r="AM66" s="253"/>
    </row>
    <row r="67" spans="11:53" x14ac:dyDescent="0.25">
      <c r="AJ67" s="151"/>
      <c r="AK67" s="173"/>
      <c r="AL67" s="173"/>
    </row>
    <row r="68" spans="11:53" x14ac:dyDescent="0.25">
      <c r="AJ68" s="151"/>
      <c r="AK68" s="173"/>
      <c r="AL68" s="173"/>
    </row>
    <row r="69" spans="11:53" ht="62.5" x14ac:dyDescent="0.25">
      <c r="L69" s="309" t="s">
        <v>568</v>
      </c>
      <c r="M69" s="146" t="s">
        <v>400</v>
      </c>
      <c r="N69" s="146" t="s">
        <v>398</v>
      </c>
      <c r="O69" s="145" t="s">
        <v>567</v>
      </c>
      <c r="P69" s="201" t="str">
        <f t="array" ref="P69:AA69">TRANSPOSE(Facilities_List)</f>
        <v>Stockyards</v>
      </c>
      <c r="Q69" s="201" t="str">
        <v>Slaughter and Evisceration</v>
      </c>
      <c r="R69" s="201" t="str">
        <v>Hide Processing</v>
      </c>
      <c r="S69" s="201" t="str">
        <v>Blood Processing</v>
      </c>
      <c r="T69" s="201" t="str">
        <v>Rendering</v>
      </c>
      <c r="U69" s="201" t="str">
        <v>Paunch Processing</v>
      </c>
      <c r="V69" s="201" t="str">
        <v>Offal Washing</v>
      </c>
      <c r="W69" s="201" t="str">
        <v>Wastewater Treatment</v>
      </c>
      <c r="X69" s="201" t="str">
        <v>Chilling</v>
      </c>
      <c r="Y69" s="201" t="str">
        <v>Boning</v>
      </c>
      <c r="Z69" s="201" t="str">
        <v>Packaging</v>
      </c>
      <c r="AA69" s="201" t="str">
        <v>Freezing</v>
      </c>
      <c r="AB69" s="145" t="s">
        <v>400</v>
      </c>
      <c r="AC69" s="146" t="s">
        <v>356</v>
      </c>
      <c r="AI69" s="309" t="s">
        <v>568</v>
      </c>
      <c r="AJ69" s="146" t="s">
        <v>400</v>
      </c>
      <c r="AK69" s="146" t="s">
        <v>398</v>
      </c>
      <c r="AL69" s="292" t="s">
        <v>567</v>
      </c>
      <c r="AM69" s="201" t="str">
        <f t="array" ref="AM69:AX69">TRANSPOSE(Facilities_List)</f>
        <v>Stockyards</v>
      </c>
      <c r="AN69" s="201" t="str">
        <v>Slaughter and Evisceration</v>
      </c>
      <c r="AO69" s="201" t="str">
        <v>Hide Processing</v>
      </c>
      <c r="AP69" s="201" t="str">
        <v>Blood Processing</v>
      </c>
      <c r="AQ69" s="201" t="str">
        <v>Rendering</v>
      </c>
      <c r="AR69" s="201" t="str">
        <v>Paunch Processing</v>
      </c>
      <c r="AS69" s="201" t="str">
        <v>Offal Washing</v>
      </c>
      <c r="AT69" s="201" t="str">
        <v>Wastewater Treatment</v>
      </c>
      <c r="AU69" s="201" t="str">
        <v>Chilling</v>
      </c>
      <c r="AV69" s="201" t="str">
        <v>Boning</v>
      </c>
      <c r="AW69" s="201" t="str">
        <v>Packaging</v>
      </c>
      <c r="AX69" s="201" t="str">
        <v>Freezing</v>
      </c>
      <c r="AY69" s="145" t="s">
        <v>400</v>
      </c>
      <c r="AZ69" s="146" t="s">
        <v>356</v>
      </c>
    </row>
    <row r="70" spans="11:53" x14ac:dyDescent="0.25">
      <c r="L70" s="698">
        <v>1</v>
      </c>
      <c r="M70" s="146" t="s">
        <v>84</v>
      </c>
      <c r="N70" s="146" t="s">
        <v>866</v>
      </c>
      <c r="O70" s="700" t="s">
        <v>375</v>
      </c>
      <c r="P70" s="141" t="s">
        <v>77</v>
      </c>
      <c r="Q70" s="141" t="s">
        <v>77</v>
      </c>
      <c r="R70" s="141" t="s">
        <v>77</v>
      </c>
      <c r="S70" s="141" t="s">
        <v>77</v>
      </c>
      <c r="T70" s="141" t="s">
        <v>77</v>
      </c>
      <c r="U70" s="141" t="s">
        <v>77</v>
      </c>
      <c r="V70" s="141" t="s">
        <v>77</v>
      </c>
      <c r="W70" s="141" t="s">
        <v>77</v>
      </c>
      <c r="X70" s="141" t="s">
        <v>77</v>
      </c>
      <c r="Y70" s="141" t="s">
        <v>77</v>
      </c>
      <c r="Z70" s="141" t="s">
        <v>77</v>
      </c>
      <c r="AA70" s="141" t="s">
        <v>77</v>
      </c>
      <c r="AB70" s="146">
        <f>AC70</f>
        <v>2334</v>
      </c>
      <c r="AC70" s="146">
        <v>2334</v>
      </c>
      <c r="AD70" s="129" t="str">
        <f>IF(M70="Thermal"," MJ / tHSCW", " kWh / tHSCW")</f>
        <v xml:space="preserve"> MJ / tHSCW</v>
      </c>
      <c r="AI70" s="698">
        <v>1</v>
      </c>
      <c r="AJ70" s="146" t="s">
        <v>84</v>
      </c>
      <c r="AK70" s="146" t="s">
        <v>866</v>
      </c>
      <c r="AL70" s="700" t="s">
        <v>375</v>
      </c>
      <c r="AM70" s="141" t="s">
        <v>77</v>
      </c>
      <c r="AN70" s="141" t="s">
        <v>77</v>
      </c>
      <c r="AO70" s="141" t="s">
        <v>77</v>
      </c>
      <c r="AP70" s="141" t="s">
        <v>77</v>
      </c>
      <c r="AQ70" s="141" t="s">
        <v>77</v>
      </c>
      <c r="AR70" s="141" t="s">
        <v>77</v>
      </c>
      <c r="AS70" s="141" t="s">
        <v>77</v>
      </c>
      <c r="AT70" s="141" t="s">
        <v>77</v>
      </c>
      <c r="AU70" s="141" t="s">
        <v>77</v>
      </c>
      <c r="AV70" s="141" t="s">
        <v>77</v>
      </c>
      <c r="AW70" s="141" t="s">
        <v>77</v>
      </c>
      <c r="AX70" s="141" t="s">
        <v>77</v>
      </c>
      <c r="AY70" s="146">
        <f>AZ70</f>
        <v>2334</v>
      </c>
      <c r="AZ70" s="146">
        <v>2334</v>
      </c>
      <c r="BA70" s="129" t="str">
        <f>IF(AJ70="Thermal"," MJ / tHSCW", " kWh / tHSCW")</f>
        <v xml:space="preserve"> MJ / tHSCW</v>
      </c>
    </row>
    <row r="71" spans="11:53" x14ac:dyDescent="0.25">
      <c r="L71" s="699"/>
      <c r="M71" s="146" t="s">
        <v>72</v>
      </c>
      <c r="N71" s="146" t="s">
        <v>866</v>
      </c>
      <c r="O71" s="701"/>
      <c r="P71" s="141" t="s">
        <v>77</v>
      </c>
      <c r="Q71" s="141" t="s">
        <v>77</v>
      </c>
      <c r="R71" s="141" t="s">
        <v>77</v>
      </c>
      <c r="S71" s="141" t="s">
        <v>77</v>
      </c>
      <c r="T71" s="141" t="s">
        <v>77</v>
      </c>
      <c r="U71" s="141" t="s">
        <v>77</v>
      </c>
      <c r="V71" s="141" t="s">
        <v>77</v>
      </c>
      <c r="W71" s="141" t="s">
        <v>77</v>
      </c>
      <c r="X71" s="141" t="s">
        <v>77</v>
      </c>
      <c r="Y71" s="141" t="s">
        <v>77</v>
      </c>
      <c r="Z71" s="141" t="s">
        <v>77</v>
      </c>
      <c r="AA71" s="141" t="s">
        <v>77</v>
      </c>
      <c r="AB71" s="136">
        <f>AC71</f>
        <v>257</v>
      </c>
      <c r="AC71" s="106">
        <v>257</v>
      </c>
      <c r="AD71" s="129" t="str">
        <f>IF(M71="Thermal"," MJ / tHSCW", " kWh / tHSCW")</f>
        <v xml:space="preserve"> kWh / tHSCW</v>
      </c>
      <c r="AI71" s="699"/>
      <c r="AJ71" s="146" t="s">
        <v>72</v>
      </c>
      <c r="AK71" s="146" t="s">
        <v>866</v>
      </c>
      <c r="AL71" s="701"/>
      <c r="AM71" s="141" t="s">
        <v>77</v>
      </c>
      <c r="AN71" s="141" t="s">
        <v>77</v>
      </c>
      <c r="AO71" s="141" t="s">
        <v>77</v>
      </c>
      <c r="AP71" s="141" t="s">
        <v>77</v>
      </c>
      <c r="AQ71" s="141" t="s">
        <v>77</v>
      </c>
      <c r="AR71" s="141" t="s">
        <v>77</v>
      </c>
      <c r="AS71" s="141" t="s">
        <v>77</v>
      </c>
      <c r="AT71" s="141" t="s">
        <v>77</v>
      </c>
      <c r="AU71" s="141" t="s">
        <v>77</v>
      </c>
      <c r="AV71" s="141" t="s">
        <v>77</v>
      </c>
      <c r="AW71" s="141" t="s">
        <v>77</v>
      </c>
      <c r="AX71" s="141" t="s">
        <v>77</v>
      </c>
      <c r="AY71" s="136">
        <f>AZ71</f>
        <v>257</v>
      </c>
      <c r="AZ71" s="106">
        <v>257</v>
      </c>
      <c r="BA71" s="129" t="str">
        <f>IF(AJ71="Thermal"," MJ / tHSCW", " kWh / tHSCW")</f>
        <v xml:space="preserve"> kWh / tHSCW</v>
      </c>
    </row>
    <row r="72" spans="11:53" x14ac:dyDescent="0.25">
      <c r="AI72" s="253"/>
      <c r="AJ72" s="151"/>
      <c r="AK72" s="173"/>
      <c r="AL72" s="173"/>
    </row>
    <row r="73" spans="11:53" ht="13" x14ac:dyDescent="0.3">
      <c r="K73" s="177" t="str">
        <f>B8</f>
        <v>4) Import performance figures from real-world sites to cross-check best-practice figures for validation</v>
      </c>
      <c r="AI73" s="253"/>
      <c r="AJ73" s="151"/>
      <c r="AK73" s="173"/>
      <c r="AL73" s="173"/>
    </row>
    <row r="74" spans="11:53" x14ac:dyDescent="0.25">
      <c r="AI74" s="253"/>
      <c r="AJ74" s="151"/>
      <c r="AK74" s="173"/>
      <c r="AL74" s="173"/>
    </row>
    <row r="75" spans="11:53" ht="62.5" x14ac:dyDescent="0.25">
      <c r="L75" s="309" t="s">
        <v>568</v>
      </c>
      <c r="M75" s="146" t="s">
        <v>400</v>
      </c>
      <c r="N75" s="146" t="s">
        <v>398</v>
      </c>
      <c r="O75" s="292" t="s">
        <v>567</v>
      </c>
      <c r="P75" s="145" t="str">
        <f t="shared" ref="P75:AA75" si="24">P17</f>
        <v>Stockyards</v>
      </c>
      <c r="Q75" s="145" t="str">
        <f t="shared" si="24"/>
        <v>Slaughter and Evisceration</v>
      </c>
      <c r="R75" s="145" t="str">
        <f t="shared" si="24"/>
        <v>Hide Processing</v>
      </c>
      <c r="S75" s="145" t="str">
        <f t="shared" si="24"/>
        <v>Blood Processing</v>
      </c>
      <c r="T75" s="145" t="str">
        <f t="shared" si="24"/>
        <v>Rendering</v>
      </c>
      <c r="U75" s="145" t="str">
        <f t="shared" si="24"/>
        <v>Paunch Processing</v>
      </c>
      <c r="V75" s="145" t="str">
        <f t="shared" si="24"/>
        <v>Offal Washing</v>
      </c>
      <c r="W75" s="145" t="str">
        <f t="shared" si="24"/>
        <v>Wastewater Treatment</v>
      </c>
      <c r="X75" s="145" t="str">
        <f t="shared" si="24"/>
        <v>Chilling</v>
      </c>
      <c r="Y75" s="145" t="str">
        <f t="shared" si="24"/>
        <v>Boning</v>
      </c>
      <c r="Z75" s="145" t="str">
        <f t="shared" si="24"/>
        <v>Packaging</v>
      </c>
      <c r="AA75" s="145" t="str">
        <f t="shared" si="24"/>
        <v>Freezing</v>
      </c>
      <c r="AB75" s="145" t="s">
        <v>400</v>
      </c>
      <c r="AC75" s="146" t="s">
        <v>356</v>
      </c>
      <c r="AD75" s="146" t="s">
        <v>339</v>
      </c>
      <c r="AI75" s="309" t="s">
        <v>568</v>
      </c>
      <c r="AJ75" s="146" t="s">
        <v>400</v>
      </c>
      <c r="AK75" s="146" t="s">
        <v>398</v>
      </c>
      <c r="AL75" s="292" t="s">
        <v>567</v>
      </c>
      <c r="AM75" s="145" t="str">
        <f t="shared" ref="AM75:AX75" si="25">AM17</f>
        <v>Stockyards</v>
      </c>
      <c r="AN75" s="145" t="str">
        <f t="shared" si="25"/>
        <v>Slaughter and Evisceration</v>
      </c>
      <c r="AO75" s="145" t="str">
        <f t="shared" si="25"/>
        <v>Hide Processing</v>
      </c>
      <c r="AP75" s="145" t="str">
        <f t="shared" si="25"/>
        <v>Blood Processing</v>
      </c>
      <c r="AQ75" s="145" t="str">
        <f t="shared" si="25"/>
        <v>Rendering</v>
      </c>
      <c r="AR75" s="145" t="str">
        <f t="shared" si="25"/>
        <v>Paunch Processing</v>
      </c>
      <c r="AS75" s="145" t="str">
        <f t="shared" si="25"/>
        <v>Offal Washing</v>
      </c>
      <c r="AT75" s="145" t="str">
        <f t="shared" si="25"/>
        <v>Wastewater Treatment</v>
      </c>
      <c r="AU75" s="145" t="str">
        <f t="shared" si="25"/>
        <v>Chilling</v>
      </c>
      <c r="AV75" s="145" t="str">
        <f t="shared" si="25"/>
        <v>Boning</v>
      </c>
      <c r="AW75" s="145" t="str">
        <f t="shared" si="25"/>
        <v>Packaging</v>
      </c>
      <c r="AX75" s="145" t="str">
        <f t="shared" si="25"/>
        <v>Freezing</v>
      </c>
      <c r="AY75" s="145" t="s">
        <v>400</v>
      </c>
      <c r="AZ75" s="146" t="s">
        <v>356</v>
      </c>
      <c r="BA75" s="146" t="s">
        <v>339</v>
      </c>
    </row>
    <row r="76" spans="11:53" s="150" customFormat="1" ht="25.5" customHeight="1" x14ac:dyDescent="0.25">
      <c r="L76" s="310">
        <v>1</v>
      </c>
      <c r="M76" s="104" t="s">
        <v>84</v>
      </c>
      <c r="N76" s="105" t="s">
        <v>862</v>
      </c>
      <c r="O76" s="136" t="s">
        <v>375</v>
      </c>
      <c r="P76" s="142" t="s">
        <v>77</v>
      </c>
      <c r="Q76" s="142" t="s">
        <v>77</v>
      </c>
      <c r="R76" s="142"/>
      <c r="S76" s="142" t="s">
        <v>77</v>
      </c>
      <c r="T76" s="142" t="s">
        <v>77</v>
      </c>
      <c r="U76" s="142" t="s">
        <v>77</v>
      </c>
      <c r="V76" s="142" t="s">
        <v>77</v>
      </c>
      <c r="W76" s="142" t="s">
        <v>77</v>
      </c>
      <c r="X76" s="142" t="s">
        <v>77</v>
      </c>
      <c r="Y76" s="142" t="s">
        <v>77</v>
      </c>
      <c r="Z76" s="142" t="s">
        <v>77</v>
      </c>
      <c r="AA76" s="142" t="s">
        <v>77</v>
      </c>
      <c r="AB76" s="181">
        <f>IF(M76="Thermal",AB$70*SUMPRODUCT(((P76:AA76)="Yes")*P$59:AA$59)/SUMPRODUCT(((P$70:AA$70)="Yes")*P$59:AA$59),AB$71*SUMPRODUCT(((P76:AA76)="Yes")*P$60:AA$60)/SUMPRODUCT(((P$71:AA$71)="Yes")*P$60:AA$60))*(L76/$L$70)*(INDEX('Benchmark-Adjustments'!$H$35:$H$36,MATCH($O$70,'Benchmark-Adjustments'!$E$35:$E$36,0))/INDEX('Benchmark-Adjustments'!$H$35:$H$36,MATCH(O76,'Benchmark-Adjustments'!$E$35:$E$36,0)))</f>
        <v>2325.5961778147075</v>
      </c>
      <c r="AC76" s="182">
        <v>3730</v>
      </c>
      <c r="AD76" s="132" t="str">
        <f>IF(M76="Thermal"," MJ / tHSCW", " kWh / tHSCW")</f>
        <v xml:space="preserve"> MJ / tHSCW</v>
      </c>
      <c r="AI76" s="310">
        <v>1</v>
      </c>
      <c r="AJ76" s="104" t="s">
        <v>84</v>
      </c>
      <c r="AK76" s="105" t="s">
        <v>867</v>
      </c>
      <c r="AL76" s="136" t="s">
        <v>375</v>
      </c>
      <c r="AM76" s="142" t="s">
        <v>77</v>
      </c>
      <c r="AN76" s="142" t="s">
        <v>77</v>
      </c>
      <c r="AO76" s="142"/>
      <c r="AP76" s="142"/>
      <c r="AQ76" s="142" t="s">
        <v>71</v>
      </c>
      <c r="AR76" s="142"/>
      <c r="AS76" s="142"/>
      <c r="AT76" s="142" t="s">
        <v>77</v>
      </c>
      <c r="AU76" s="142" t="s">
        <v>77</v>
      </c>
      <c r="AV76" s="142" t="s">
        <v>77</v>
      </c>
      <c r="AW76" s="142"/>
      <c r="AX76" s="142" t="s">
        <v>77</v>
      </c>
      <c r="AY76" s="181">
        <f>IF(AJ76="Thermal",AY$70*SUMPRODUCT(((AM76:AX76)="Yes")*AM$59:AX$59)/SUMPRODUCT(((AM$70:AX$70)="Yes")*AM$59:AX$59),AY$71*SUMPRODUCT(((AM76:AX76)="Yes")*AM$60:AX$60)/SUMPRODUCT(((AM$71:AX$71)="Yes")*AM$60:AX$60))*(AI76/$AI$70)*(INDEX('Benchmark-Adjustments'!$H$35:$H$36,MATCH(AL76,'Benchmark-Adjustments'!$E$35:$E$36,0))/INDEX('Benchmark-Adjustments'!$H$35:$H$36,MATCH($AL$70,'Benchmark-Adjustments'!$E$35:$E$36,0)))</f>
        <v>1581.7127805339005</v>
      </c>
      <c r="AZ76" s="182">
        <v>1570</v>
      </c>
      <c r="BA76" s="132" t="str">
        <f>IF(AJ76="Thermal"," MJ / tHSCW", " kWh / tHSCW")</f>
        <v xml:space="preserve"> MJ / tHSCW</v>
      </c>
    </row>
    <row r="77" spans="11:53" s="150" customFormat="1" ht="25.5" customHeight="1" x14ac:dyDescent="0.25">
      <c r="L77" s="310">
        <v>1</v>
      </c>
      <c r="M77" s="104" t="s">
        <v>72</v>
      </c>
      <c r="N77" s="105" t="s">
        <v>862</v>
      </c>
      <c r="O77" s="136" t="s">
        <v>375</v>
      </c>
      <c r="P77" s="142" t="s">
        <v>77</v>
      </c>
      <c r="Q77" s="142" t="s">
        <v>77</v>
      </c>
      <c r="R77" s="142"/>
      <c r="S77" s="142" t="s">
        <v>77</v>
      </c>
      <c r="T77" s="142" t="s">
        <v>77</v>
      </c>
      <c r="U77" s="142" t="s">
        <v>77</v>
      </c>
      <c r="V77" s="142" t="s">
        <v>77</v>
      </c>
      <c r="W77" s="142" t="s">
        <v>77</v>
      </c>
      <c r="X77" s="142" t="s">
        <v>77</v>
      </c>
      <c r="Y77" s="142" t="s">
        <v>77</v>
      </c>
      <c r="Z77" s="142" t="s">
        <v>77</v>
      </c>
      <c r="AA77" s="142" t="s">
        <v>77</v>
      </c>
      <c r="AB77" s="181">
        <f>IF(M77="Thermal",AB$70*SUMPRODUCT(((P77:AA77)="Yes")*P$59:AA$59)/SUMPRODUCT(((P$70:AA$70)="Yes")*P$59:AA$59),AB$71*SUMPRODUCT(((P77:AA77)="Yes")*P$60:AA$60)/SUMPRODUCT(((P$71:AA$71)="Yes")*P$60:AA$60))*(L77/$L$70)*(INDEX('Benchmark-Adjustments'!$H$35:$H$36,MATCH($O$70,'Benchmark-Adjustments'!$E$35:$E$36,0))/INDEX('Benchmark-Adjustments'!$H$35:$H$36,MATCH(O77,'Benchmark-Adjustments'!$E$35:$E$36,0)))</f>
        <v>250.28460451977401</v>
      </c>
      <c r="AC77" s="182">
        <v>251</v>
      </c>
      <c r="AD77" s="132" t="str">
        <f t="shared" ref="AD77:AD93" si="26">IF(M77="Thermal"," MJ / tHSCW", " kWh / tHSCW")</f>
        <v xml:space="preserve"> kWh / tHSCW</v>
      </c>
      <c r="AI77" s="310">
        <v>1</v>
      </c>
      <c r="AJ77" s="104" t="s">
        <v>72</v>
      </c>
      <c r="AK77" s="105" t="s">
        <v>867</v>
      </c>
      <c r="AL77" s="136" t="s">
        <v>375</v>
      </c>
      <c r="AM77" s="142" t="s">
        <v>77</v>
      </c>
      <c r="AN77" s="142" t="s">
        <v>77</v>
      </c>
      <c r="AO77" s="142"/>
      <c r="AP77" s="142"/>
      <c r="AQ77" s="142" t="s">
        <v>71</v>
      </c>
      <c r="AR77" s="142"/>
      <c r="AS77" s="142"/>
      <c r="AT77" s="142" t="s">
        <v>77</v>
      </c>
      <c r="AU77" s="142" t="s">
        <v>77</v>
      </c>
      <c r="AV77" s="142" t="s">
        <v>77</v>
      </c>
      <c r="AW77" s="142"/>
      <c r="AX77" s="142" t="s">
        <v>77</v>
      </c>
      <c r="AY77" s="181">
        <f>IF(AJ77="Thermal",AY$70*SUMPRODUCT(((AM77:AX77)="Yes")*AM$59:AX$59)/SUMPRODUCT(((AM$70:AX$70)="Yes")*AM$59:AX$59),AY$71*SUMPRODUCT(((AM77:AX77)="Yes")*AM$60:AX$60)/SUMPRODUCT(((AM$71:AX$71)="Yes")*AM$60:AX$60))*(AI77/$AI$70)*(INDEX('Benchmark-Adjustments'!$H$35:$H$36,MATCH(AL77,'Benchmark-Adjustments'!$E$35:$E$36,0))/INDEX('Benchmark-Adjustments'!$H$35:$H$36,MATCH($AL$70,'Benchmark-Adjustments'!$E$35:$E$36,0)))</f>
        <v>223.98483179391579</v>
      </c>
      <c r="AZ77" s="182">
        <v>363</v>
      </c>
      <c r="BA77" s="132" t="str">
        <f t="shared" ref="BA77:BA93" si="27">IF(AJ77="Thermal"," MJ / tHSCW", " kWh / tHSCW")</f>
        <v xml:space="preserve"> kWh / tHSCW</v>
      </c>
    </row>
    <row r="78" spans="11:53" s="150" customFormat="1" ht="25.5" customHeight="1" x14ac:dyDescent="0.25">
      <c r="L78" s="310">
        <v>1</v>
      </c>
      <c r="M78" s="104" t="s">
        <v>84</v>
      </c>
      <c r="N78" s="105" t="s">
        <v>863</v>
      </c>
      <c r="O78" s="136" t="s">
        <v>375</v>
      </c>
      <c r="P78" s="142" t="s">
        <v>77</v>
      </c>
      <c r="Q78" s="142" t="s">
        <v>77</v>
      </c>
      <c r="R78" s="142" t="s">
        <v>77</v>
      </c>
      <c r="S78" s="142" t="s">
        <v>77</v>
      </c>
      <c r="T78" s="142" t="s">
        <v>77</v>
      </c>
      <c r="U78" s="142" t="s">
        <v>77</v>
      </c>
      <c r="V78" s="142" t="s">
        <v>77</v>
      </c>
      <c r="W78" s="142" t="s">
        <v>77</v>
      </c>
      <c r="X78" s="142" t="s">
        <v>77</v>
      </c>
      <c r="Y78" s="142" t="s">
        <v>77</v>
      </c>
      <c r="Z78" s="142" t="s">
        <v>77</v>
      </c>
      <c r="AA78" s="142" t="s">
        <v>77</v>
      </c>
      <c r="AB78" s="181">
        <f>IF(M78="Thermal",AB$70*SUMPRODUCT(((P78:AA78)="Yes")*P$59:AA$59)/SUMPRODUCT(((P$70:AA$70)="Yes")*P$59:AA$59),AB$71*SUMPRODUCT(((P78:AA78)="Yes")*P$60:AA$60)/SUMPRODUCT(((P$71:AA$71)="Yes")*P$60:AA$60))*(L78/$L$70)*(INDEX('Benchmark-Adjustments'!$H$35:$H$36,MATCH($O$70,'Benchmark-Adjustments'!$E$35:$E$36,0))/INDEX('Benchmark-Adjustments'!$H$35:$H$36,MATCH(O78,'Benchmark-Adjustments'!$E$35:$E$36,0)))</f>
        <v>2334</v>
      </c>
      <c r="AC78" s="182">
        <v>1819</v>
      </c>
      <c r="AD78" s="132" t="str">
        <f t="shared" si="26"/>
        <v xml:space="preserve"> MJ / tHSCW</v>
      </c>
      <c r="AI78" s="310">
        <v>1</v>
      </c>
      <c r="AJ78" s="104" t="s">
        <v>84</v>
      </c>
      <c r="AK78" s="104" t="s">
        <v>868</v>
      </c>
      <c r="AL78" s="136" t="s">
        <v>374</v>
      </c>
      <c r="AM78" s="142" t="s">
        <v>77</v>
      </c>
      <c r="AN78" s="142" t="s">
        <v>77</v>
      </c>
      <c r="AO78" s="142"/>
      <c r="AP78" s="142"/>
      <c r="AQ78" s="142" t="s">
        <v>71</v>
      </c>
      <c r="AR78" s="142"/>
      <c r="AS78" s="142"/>
      <c r="AT78" s="142" t="s">
        <v>77</v>
      </c>
      <c r="AU78" s="142" t="s">
        <v>77</v>
      </c>
      <c r="AV78" s="142"/>
      <c r="AW78" s="142"/>
      <c r="AX78" s="142"/>
      <c r="AY78" s="181">
        <f>IF(AJ78="Thermal",AY$70*SUMPRODUCT(((AM78:AX78)="Yes")*AM$59:AX$59)/SUMPRODUCT(((AM$70:AX$70)="Yes")*AM$59:AX$59),AY$71*SUMPRODUCT(((AM78:AX78)="Yes")*AM$60:AX$60)/SUMPRODUCT(((AM$71:AX$71)="Yes")*AM$60:AX$60))*(AI78/$AI$70)*(INDEX('Benchmark-Adjustments'!$H$35:$H$36,MATCH(AL78,'Benchmark-Adjustments'!$E$35:$E$36,0))/INDEX('Benchmark-Adjustments'!$H$35:$H$36,MATCH($AL$70,'Benchmark-Adjustments'!$E$35:$E$36,0)))</f>
        <v>406.91991495393347</v>
      </c>
      <c r="AZ78" s="182">
        <v>380</v>
      </c>
      <c r="BA78" s="132" t="str">
        <f t="shared" si="27"/>
        <v xml:space="preserve"> MJ / tHSCW</v>
      </c>
    </row>
    <row r="79" spans="11:53" s="150" customFormat="1" ht="25.5" customHeight="1" x14ac:dyDescent="0.25">
      <c r="L79" s="310">
        <v>1</v>
      </c>
      <c r="M79" s="104" t="s">
        <v>72</v>
      </c>
      <c r="N79" s="105" t="s">
        <v>863</v>
      </c>
      <c r="O79" s="136" t="s">
        <v>375</v>
      </c>
      <c r="P79" s="142" t="s">
        <v>77</v>
      </c>
      <c r="Q79" s="142" t="s">
        <v>77</v>
      </c>
      <c r="R79" s="142" t="s">
        <v>77</v>
      </c>
      <c r="S79" s="142" t="s">
        <v>77</v>
      </c>
      <c r="T79" s="142" t="s">
        <v>77</v>
      </c>
      <c r="U79" s="142" t="s">
        <v>77</v>
      </c>
      <c r="V79" s="142" t="s">
        <v>77</v>
      </c>
      <c r="W79" s="142" t="s">
        <v>77</v>
      </c>
      <c r="X79" s="142" t="s">
        <v>77</v>
      </c>
      <c r="Y79" s="142" t="s">
        <v>77</v>
      </c>
      <c r="Z79" s="142" t="s">
        <v>77</v>
      </c>
      <c r="AA79" s="142" t="s">
        <v>77</v>
      </c>
      <c r="AB79" s="181">
        <f>IF(M79="Thermal",AB$70*SUMPRODUCT(((P79:AA79)="Yes")*P$59:AA$59)/SUMPRODUCT(((P$70:AA$70)="Yes")*P$59:AA$59),AB$71*SUMPRODUCT(((P79:AA79)="Yes")*P$60:AA$60)/SUMPRODUCT(((P$71:AA$71)="Yes")*P$60:AA$60))*(L79/$L$70)*(INDEX('Benchmark-Adjustments'!$H$35:$H$36,MATCH($O$70,'Benchmark-Adjustments'!$E$35:$E$36,0))/INDEX('Benchmark-Adjustments'!$H$35:$H$36,MATCH(O79,'Benchmark-Adjustments'!$E$35:$E$36,0)))</f>
        <v>257</v>
      </c>
      <c r="AC79" s="182">
        <v>243</v>
      </c>
      <c r="AD79" s="132" t="str">
        <f t="shared" si="26"/>
        <v xml:space="preserve"> kWh / tHSCW</v>
      </c>
      <c r="AI79" s="310">
        <v>1</v>
      </c>
      <c r="AJ79" s="104" t="s">
        <v>72</v>
      </c>
      <c r="AK79" s="104" t="s">
        <v>868</v>
      </c>
      <c r="AL79" s="136" t="s">
        <v>374</v>
      </c>
      <c r="AM79" s="142" t="s">
        <v>77</v>
      </c>
      <c r="AN79" s="142" t="s">
        <v>77</v>
      </c>
      <c r="AO79" s="142"/>
      <c r="AP79" s="142"/>
      <c r="AQ79" s="142" t="s">
        <v>71</v>
      </c>
      <c r="AR79" s="142"/>
      <c r="AS79" s="142"/>
      <c r="AT79" s="142" t="s">
        <v>77</v>
      </c>
      <c r="AU79" s="142" t="s">
        <v>77</v>
      </c>
      <c r="AV79" s="142"/>
      <c r="AW79" s="142"/>
      <c r="AX79" s="142"/>
      <c r="AY79" s="181">
        <f>IF(AJ79="Thermal",AY$70*SUMPRODUCT(((AM79:AX79)="Yes")*AM$59:AX$59)/SUMPRODUCT(((AM$70:AX$70)="Yes")*AM$59:AX$59),AY$71*SUMPRODUCT(((AM79:AX79)="Yes")*AM$60:AX$60)/SUMPRODUCT(((AM$71:AX$71)="Yes")*AM$60:AX$60))*(AI79/$AI$70)*(INDEX('Benchmark-Adjustments'!$H$35:$H$36,MATCH(AL79,'Benchmark-Adjustments'!$E$35:$E$36,0))/INDEX('Benchmark-Adjustments'!$H$35:$H$36,MATCH($AL$70,'Benchmark-Adjustments'!$E$35:$E$36,0)))</f>
        <v>33.029686749710471</v>
      </c>
      <c r="AZ79" s="182">
        <v>63</v>
      </c>
      <c r="BA79" s="132" t="str">
        <f t="shared" si="27"/>
        <v xml:space="preserve"> kWh / tHSCW</v>
      </c>
    </row>
    <row r="80" spans="11:53" s="150" customFormat="1" ht="25.5" customHeight="1" x14ac:dyDescent="0.25">
      <c r="L80" s="310">
        <v>1</v>
      </c>
      <c r="M80" s="104" t="s">
        <v>84</v>
      </c>
      <c r="N80" s="105" t="s">
        <v>864</v>
      </c>
      <c r="O80" s="136" t="s">
        <v>375</v>
      </c>
      <c r="P80" s="142" t="s">
        <v>77</v>
      </c>
      <c r="Q80" s="142" t="s">
        <v>77</v>
      </c>
      <c r="R80" s="142" t="s">
        <v>77</v>
      </c>
      <c r="S80" s="142" t="s">
        <v>77</v>
      </c>
      <c r="T80" s="142" t="s">
        <v>77</v>
      </c>
      <c r="U80" s="142" t="s">
        <v>77</v>
      </c>
      <c r="V80" s="142" t="s">
        <v>77</v>
      </c>
      <c r="W80" s="142" t="s">
        <v>77</v>
      </c>
      <c r="X80" s="142" t="s">
        <v>77</v>
      </c>
      <c r="Y80" s="142" t="s">
        <v>77</v>
      </c>
      <c r="Z80" s="142" t="s">
        <v>77</v>
      </c>
      <c r="AA80" s="142" t="s">
        <v>77</v>
      </c>
      <c r="AB80" s="181">
        <f>IF(M80="Thermal",AB$70*SUMPRODUCT(((P80:AA80)="Yes")*P$59:AA$59)/SUMPRODUCT(((P$70:AA$70)="Yes")*P$59:AA$59),AB$71*SUMPRODUCT(((P80:AA80)="Yes")*P$60:AA$60)/SUMPRODUCT(((P$71:AA$71)="Yes")*P$60:AA$60))*(L80/$L$70)*(INDEX('Benchmark-Adjustments'!$H$35:$H$36,MATCH($O$70,'Benchmark-Adjustments'!$E$35:$E$36,0))/INDEX('Benchmark-Adjustments'!$H$35:$H$36,MATCH(O80,'Benchmark-Adjustments'!$E$35:$E$36,0)))</f>
        <v>2334</v>
      </c>
      <c r="AC80" s="182">
        <v>2236</v>
      </c>
      <c r="AD80" s="132" t="str">
        <f t="shared" si="26"/>
        <v xml:space="preserve"> MJ / tHSCW</v>
      </c>
      <c r="AI80" s="310">
        <v>1</v>
      </c>
      <c r="AJ80" s="104" t="s">
        <v>84</v>
      </c>
      <c r="AK80" s="104"/>
      <c r="AL80" s="136"/>
      <c r="AM80" s="142" t="s">
        <v>77</v>
      </c>
      <c r="AN80" s="142" t="s">
        <v>77</v>
      </c>
      <c r="AO80" s="142"/>
      <c r="AP80" s="142"/>
      <c r="AQ80" s="142" t="s">
        <v>71</v>
      </c>
      <c r="AR80" s="142"/>
      <c r="AS80" s="142"/>
      <c r="AT80" s="142" t="s">
        <v>77</v>
      </c>
      <c r="AU80" s="142" t="s">
        <v>77</v>
      </c>
      <c r="AV80" s="142"/>
      <c r="AW80" s="142"/>
      <c r="AX80" s="142"/>
      <c r="AY80" s="181" t="e">
        <f>IF(AJ80="Thermal",AY$70*SUMPRODUCT(((AM80:AX80)="Yes")*AM$59:AX$59)/SUMPRODUCT(((AM$70:AX$70)="Yes")*AM$59:AX$59),AY$71*SUMPRODUCT(((AM80:AX80)="Yes")*AM$60:AX$60)/SUMPRODUCT(((AM$71:AX$71)="Yes")*AM$60:AX$60))*(AI80/$AI$70)*(INDEX('Benchmark-Adjustments'!$H$35:$H$36,MATCH(AL80,'Benchmark-Adjustments'!$E$35:$E$36,0))/INDEX('Benchmark-Adjustments'!$H$35:$H$36,MATCH($AL$70,'Benchmark-Adjustments'!$E$35:$E$36,0)))</f>
        <v>#N/A</v>
      </c>
      <c r="AZ80" s="182"/>
      <c r="BA80" s="132" t="str">
        <f t="shared" si="27"/>
        <v xml:space="preserve"> MJ / tHSCW</v>
      </c>
    </row>
    <row r="81" spans="12:53" s="150" customFormat="1" ht="25.5" customHeight="1" x14ac:dyDescent="0.25">
      <c r="L81" s="310">
        <v>1</v>
      </c>
      <c r="M81" s="104" t="s">
        <v>72</v>
      </c>
      <c r="N81" s="105" t="s">
        <v>864</v>
      </c>
      <c r="O81" s="136" t="s">
        <v>375</v>
      </c>
      <c r="P81" s="142" t="s">
        <v>77</v>
      </c>
      <c r="Q81" s="142" t="s">
        <v>77</v>
      </c>
      <c r="R81" s="142" t="s">
        <v>77</v>
      </c>
      <c r="S81" s="142" t="s">
        <v>77</v>
      </c>
      <c r="T81" s="142" t="s">
        <v>77</v>
      </c>
      <c r="U81" s="142" t="s">
        <v>77</v>
      </c>
      <c r="V81" s="142" t="s">
        <v>77</v>
      </c>
      <c r="W81" s="142" t="s">
        <v>77</v>
      </c>
      <c r="X81" s="142" t="s">
        <v>77</v>
      </c>
      <c r="Y81" s="142" t="s">
        <v>77</v>
      </c>
      <c r="Z81" s="142" t="s">
        <v>77</v>
      </c>
      <c r="AA81" s="142" t="s">
        <v>77</v>
      </c>
      <c r="AB81" s="181">
        <f>IF(M81="Thermal",AB$70*SUMPRODUCT(((P81:AA81)="Yes")*P$59:AA$59)/SUMPRODUCT(((P$70:AA$70)="Yes")*P$59:AA$59),AB$71*SUMPRODUCT(((P81:AA81)="Yes")*P$60:AA$60)/SUMPRODUCT(((P$71:AA$71)="Yes")*P$60:AA$60))*(L81/$L$70)*(INDEX('Benchmark-Adjustments'!$H$35:$H$36,MATCH($O$70,'Benchmark-Adjustments'!$E$35:$E$36,0))/INDEX('Benchmark-Adjustments'!$H$35:$H$36,MATCH(O81,'Benchmark-Adjustments'!$E$35:$E$36,0)))</f>
        <v>257</v>
      </c>
      <c r="AC81" s="182">
        <v>297</v>
      </c>
      <c r="AD81" s="132" t="str">
        <f t="shared" si="26"/>
        <v xml:space="preserve"> kWh / tHSCW</v>
      </c>
      <c r="AI81" s="310">
        <v>1</v>
      </c>
      <c r="AJ81" s="104" t="s">
        <v>72</v>
      </c>
      <c r="AK81" s="104"/>
      <c r="AL81" s="136"/>
      <c r="AM81" s="142" t="s">
        <v>77</v>
      </c>
      <c r="AN81" s="142" t="s">
        <v>77</v>
      </c>
      <c r="AO81" s="142"/>
      <c r="AP81" s="142"/>
      <c r="AQ81" s="142" t="s">
        <v>71</v>
      </c>
      <c r="AR81" s="142"/>
      <c r="AS81" s="142"/>
      <c r="AT81" s="142" t="s">
        <v>77</v>
      </c>
      <c r="AU81" s="142" t="s">
        <v>77</v>
      </c>
      <c r="AV81" s="142"/>
      <c r="AW81" s="142"/>
      <c r="AX81" s="142"/>
      <c r="AY81" s="181" t="e">
        <f>IF(AJ81="Thermal",AY$70*SUMPRODUCT(((AM81:AX81)="Yes")*AM$59:AX$59)/SUMPRODUCT(((AM$70:AX$70)="Yes")*AM$59:AX$59),AY$71*SUMPRODUCT(((AM81:AX81)="Yes")*AM$60:AX$60)/SUMPRODUCT(((AM$71:AX$71)="Yes")*AM$60:AX$60))*(AI81/$AI$70)*(INDEX('Benchmark-Adjustments'!$H$35:$H$36,MATCH(AL81,'Benchmark-Adjustments'!$E$35:$E$36,0))/INDEX('Benchmark-Adjustments'!$H$35:$H$36,MATCH($AL$70,'Benchmark-Adjustments'!$E$35:$E$36,0)))</f>
        <v>#N/A</v>
      </c>
      <c r="AZ81" s="182"/>
      <c r="BA81" s="132" t="str">
        <f t="shared" si="27"/>
        <v xml:space="preserve"> kWh / tHSCW</v>
      </c>
    </row>
    <row r="82" spans="12:53" s="150" customFormat="1" ht="25.5" customHeight="1" x14ac:dyDescent="0.25">
      <c r="L82" s="310">
        <v>1</v>
      </c>
      <c r="M82" s="104" t="s">
        <v>84</v>
      </c>
      <c r="N82" s="105" t="s">
        <v>865</v>
      </c>
      <c r="O82" s="136" t="s">
        <v>375</v>
      </c>
      <c r="P82" s="142" t="s">
        <v>77</v>
      </c>
      <c r="Q82" s="142" t="s">
        <v>77</v>
      </c>
      <c r="R82" s="142" t="s">
        <v>77</v>
      </c>
      <c r="S82" s="142" t="s">
        <v>77</v>
      </c>
      <c r="T82" s="142" t="s">
        <v>77</v>
      </c>
      <c r="U82" s="142" t="s">
        <v>77</v>
      </c>
      <c r="V82" s="142" t="s">
        <v>77</v>
      </c>
      <c r="W82" s="142" t="s">
        <v>77</v>
      </c>
      <c r="X82" s="142" t="s">
        <v>77</v>
      </c>
      <c r="Y82" s="142" t="s">
        <v>77</v>
      </c>
      <c r="Z82" s="142" t="s">
        <v>77</v>
      </c>
      <c r="AA82" s="142" t="s">
        <v>77</v>
      </c>
      <c r="AB82" s="181">
        <f>IF(M82="Thermal",AB$70*SUMPRODUCT(((P82:AA82)="Yes")*P$59:AA$59)/SUMPRODUCT(((P$70:AA$70)="Yes")*P$59:AA$59),AB$71*SUMPRODUCT(((P82:AA82)="Yes")*P$60:AA$60)/SUMPRODUCT(((P$71:AA$71)="Yes")*P$60:AA$60))*(L82/$L$70)*(INDEX('Benchmark-Adjustments'!$H$35:$H$36,MATCH($O$70,'Benchmark-Adjustments'!$E$35:$E$36,0))/INDEX('Benchmark-Adjustments'!$H$35:$H$36,MATCH(O82,'Benchmark-Adjustments'!$E$35:$E$36,0)))</f>
        <v>2334</v>
      </c>
      <c r="AC82" s="182">
        <v>2115</v>
      </c>
      <c r="AD82" s="132" t="str">
        <f t="shared" si="26"/>
        <v xml:space="preserve"> MJ / tHSCW</v>
      </c>
      <c r="AI82" s="310">
        <v>1</v>
      </c>
      <c r="AJ82" s="104" t="s">
        <v>84</v>
      </c>
      <c r="AK82" s="104"/>
      <c r="AL82" s="136"/>
      <c r="AM82" s="142" t="s">
        <v>77</v>
      </c>
      <c r="AN82" s="142" t="s">
        <v>77</v>
      </c>
      <c r="AO82" s="142"/>
      <c r="AP82" s="142"/>
      <c r="AQ82" s="142" t="s">
        <v>71</v>
      </c>
      <c r="AR82" s="142"/>
      <c r="AS82" s="142"/>
      <c r="AT82" s="142" t="s">
        <v>77</v>
      </c>
      <c r="AU82" s="142" t="s">
        <v>77</v>
      </c>
      <c r="AV82" s="142"/>
      <c r="AW82" s="142"/>
      <c r="AX82" s="142"/>
      <c r="AY82" s="181" t="e">
        <f>IF(AJ82="Thermal",AY$70*SUMPRODUCT(((AM82:AX82)="Yes")*AM$59:AX$59)/SUMPRODUCT(((AM$70:AX$70)="Yes")*AM$59:AX$59),AY$71*SUMPRODUCT(((AM82:AX82)="Yes")*AM$60:AX$60)/SUMPRODUCT(((AM$71:AX$71)="Yes")*AM$60:AX$60))*(AI82/$AI$70)*(INDEX('Benchmark-Adjustments'!$H$35:$H$36,MATCH(AL82,'Benchmark-Adjustments'!$E$35:$E$36,0))/INDEX('Benchmark-Adjustments'!$H$35:$H$36,MATCH($AL$70,'Benchmark-Adjustments'!$E$35:$E$36,0)))</f>
        <v>#N/A</v>
      </c>
      <c r="AZ82" s="182"/>
      <c r="BA82" s="132" t="str">
        <f t="shared" si="27"/>
        <v xml:space="preserve"> MJ / tHSCW</v>
      </c>
    </row>
    <row r="83" spans="12:53" s="150" customFormat="1" ht="25.5" customHeight="1" x14ac:dyDescent="0.25">
      <c r="L83" s="310">
        <v>1</v>
      </c>
      <c r="M83" s="104" t="s">
        <v>72</v>
      </c>
      <c r="N83" s="105" t="s">
        <v>865</v>
      </c>
      <c r="O83" s="136" t="s">
        <v>375</v>
      </c>
      <c r="P83" s="142" t="s">
        <v>77</v>
      </c>
      <c r="Q83" s="142" t="s">
        <v>77</v>
      </c>
      <c r="R83" s="142" t="s">
        <v>77</v>
      </c>
      <c r="S83" s="142" t="s">
        <v>77</v>
      </c>
      <c r="T83" s="142" t="s">
        <v>77</v>
      </c>
      <c r="U83" s="142" t="s">
        <v>77</v>
      </c>
      <c r="V83" s="142" t="s">
        <v>77</v>
      </c>
      <c r="W83" s="142" t="s">
        <v>77</v>
      </c>
      <c r="X83" s="142" t="s">
        <v>77</v>
      </c>
      <c r="Y83" s="142" t="s">
        <v>77</v>
      </c>
      <c r="Z83" s="142" t="s">
        <v>77</v>
      </c>
      <c r="AA83" s="142" t="s">
        <v>77</v>
      </c>
      <c r="AB83" s="181">
        <f>IF(M83="Thermal",AB$70*SUMPRODUCT(((P83:AA83)="Yes")*P$59:AA$59)/SUMPRODUCT(((P$70:AA$70)="Yes")*P$59:AA$59),AB$71*SUMPRODUCT(((P83:AA83)="Yes")*P$60:AA$60)/SUMPRODUCT(((P$71:AA$71)="Yes")*P$60:AA$60))*(L83/$L$70)*(INDEX('Benchmark-Adjustments'!$H$35:$H$36,MATCH($O$70,'Benchmark-Adjustments'!$E$35:$E$36,0))/INDEX('Benchmark-Adjustments'!$H$35:$H$36,MATCH(O83,'Benchmark-Adjustments'!$E$35:$E$36,0)))</f>
        <v>257</v>
      </c>
      <c r="AC83" s="182">
        <v>255</v>
      </c>
      <c r="AD83" s="132" t="str">
        <f t="shared" si="26"/>
        <v xml:space="preserve"> kWh / tHSCW</v>
      </c>
      <c r="AI83" s="310">
        <v>1</v>
      </c>
      <c r="AJ83" s="104" t="s">
        <v>72</v>
      </c>
      <c r="AK83" s="104"/>
      <c r="AL83" s="136"/>
      <c r="AM83" s="142" t="s">
        <v>77</v>
      </c>
      <c r="AN83" s="142" t="s">
        <v>77</v>
      </c>
      <c r="AO83" s="142"/>
      <c r="AP83" s="142"/>
      <c r="AQ83" s="142" t="s">
        <v>71</v>
      </c>
      <c r="AR83" s="142"/>
      <c r="AS83" s="142"/>
      <c r="AT83" s="142" t="s">
        <v>77</v>
      </c>
      <c r="AU83" s="142" t="s">
        <v>77</v>
      </c>
      <c r="AV83" s="142"/>
      <c r="AW83" s="142"/>
      <c r="AX83" s="142"/>
      <c r="AY83" s="181" t="e">
        <f>IF(AJ83="Thermal",AY$70*SUMPRODUCT(((AM83:AX83)="Yes")*AM$59:AX$59)/SUMPRODUCT(((AM$70:AX$70)="Yes")*AM$59:AX$59),AY$71*SUMPRODUCT(((AM83:AX83)="Yes")*AM$60:AX$60)/SUMPRODUCT(((AM$71:AX$71)="Yes")*AM$60:AX$60))*(AI83/$AI$70)*(INDEX('Benchmark-Adjustments'!$H$35:$H$36,MATCH(AL83,'Benchmark-Adjustments'!$E$35:$E$36,0))/INDEX('Benchmark-Adjustments'!$H$35:$H$36,MATCH($AL$70,'Benchmark-Adjustments'!$E$35:$E$36,0)))</f>
        <v>#N/A</v>
      </c>
      <c r="AZ83" s="182"/>
      <c r="BA83" s="132" t="str">
        <f t="shared" si="27"/>
        <v xml:space="preserve"> kWh / tHSCW</v>
      </c>
    </row>
    <row r="84" spans="12:53" s="150" customFormat="1" ht="25.5" customHeight="1" x14ac:dyDescent="0.25">
      <c r="L84" s="310">
        <v>1</v>
      </c>
      <c r="M84" s="104" t="s">
        <v>84</v>
      </c>
      <c r="N84" s="104"/>
      <c r="O84" s="136"/>
      <c r="P84" s="142" t="s">
        <v>77</v>
      </c>
      <c r="Q84" s="142" t="s">
        <v>77</v>
      </c>
      <c r="R84" s="142"/>
      <c r="S84" s="142"/>
      <c r="T84" s="142" t="s">
        <v>77</v>
      </c>
      <c r="U84" s="142"/>
      <c r="V84" s="142"/>
      <c r="W84" s="142" t="s">
        <v>77</v>
      </c>
      <c r="X84" s="142" t="s">
        <v>77</v>
      </c>
      <c r="Y84" s="142"/>
      <c r="Z84" s="142"/>
      <c r="AA84" s="142"/>
      <c r="AB84" s="181" t="e">
        <f>IF(M84="Thermal",AB$70*SUMPRODUCT(((P84:AA84)="Yes")*P$59:AA$59)/SUMPRODUCT(((P$70:AA$70)="Yes")*P$59:AA$59),AB$71*SUMPRODUCT(((P84:AA84)="Yes")*P$60:AA$60)/SUMPRODUCT(((P$71:AA$71)="Yes")*P$60:AA$60))*(L84/$L$70)*(INDEX('Benchmark-Adjustments'!$H$35:$H$36,MATCH($O$70,'Benchmark-Adjustments'!$E$35:$E$36,0))/INDEX('Benchmark-Adjustments'!$H$35:$H$36,MATCH(O84,'Benchmark-Adjustments'!$E$35:$E$36,0)))</f>
        <v>#N/A</v>
      </c>
      <c r="AC84" s="182"/>
      <c r="AD84" s="132" t="str">
        <f t="shared" si="26"/>
        <v xml:space="preserve"> MJ / tHSCW</v>
      </c>
      <c r="AI84" s="310">
        <v>1</v>
      </c>
      <c r="AJ84" s="104" t="s">
        <v>84</v>
      </c>
      <c r="AK84" s="104"/>
      <c r="AL84" s="136"/>
      <c r="AM84" s="142" t="s">
        <v>77</v>
      </c>
      <c r="AN84" s="142" t="s">
        <v>77</v>
      </c>
      <c r="AO84" s="142"/>
      <c r="AP84" s="142"/>
      <c r="AQ84" s="142" t="s">
        <v>71</v>
      </c>
      <c r="AR84" s="142"/>
      <c r="AS84" s="142"/>
      <c r="AT84" s="142" t="s">
        <v>77</v>
      </c>
      <c r="AU84" s="142" t="s">
        <v>77</v>
      </c>
      <c r="AV84" s="142"/>
      <c r="AW84" s="142"/>
      <c r="AX84" s="142"/>
      <c r="AY84" s="181" t="e">
        <f>IF(AJ84="Thermal",AY$70*SUMPRODUCT(((AM84:AX84)="Yes")*AM$59:AX$59)/SUMPRODUCT(((AM$70:AX$70)="Yes")*AM$59:AX$59),AY$71*SUMPRODUCT(((AM84:AX84)="Yes")*AM$60:AX$60)/SUMPRODUCT(((AM$71:AX$71)="Yes")*AM$60:AX$60))*(AI84/$AI$70)*(INDEX('Benchmark-Adjustments'!$H$35:$H$36,MATCH(AL84,'Benchmark-Adjustments'!$E$35:$E$36,0))/INDEX('Benchmark-Adjustments'!$H$35:$H$36,MATCH($AL$70,'Benchmark-Adjustments'!$E$35:$E$36,0)))</f>
        <v>#N/A</v>
      </c>
      <c r="AZ84" s="182"/>
      <c r="BA84" s="132" t="str">
        <f t="shared" si="27"/>
        <v xml:space="preserve"> MJ / tHSCW</v>
      </c>
    </row>
    <row r="85" spans="12:53" s="150" customFormat="1" ht="25.5" customHeight="1" x14ac:dyDescent="0.25">
      <c r="L85" s="310">
        <v>1</v>
      </c>
      <c r="M85" s="104" t="s">
        <v>72</v>
      </c>
      <c r="N85" s="104"/>
      <c r="O85" s="136"/>
      <c r="P85" s="142" t="s">
        <v>77</v>
      </c>
      <c r="Q85" s="142" t="s">
        <v>77</v>
      </c>
      <c r="R85" s="142"/>
      <c r="S85" s="142"/>
      <c r="T85" s="142" t="s">
        <v>77</v>
      </c>
      <c r="U85" s="142"/>
      <c r="V85" s="142"/>
      <c r="W85" s="142" t="s">
        <v>77</v>
      </c>
      <c r="X85" s="142" t="s">
        <v>77</v>
      </c>
      <c r="Y85" s="142"/>
      <c r="Z85" s="142"/>
      <c r="AA85" s="142"/>
      <c r="AB85" s="181" t="e">
        <f>IF(M85="Thermal",AB$70*SUMPRODUCT(((P85:AA85)="Yes")*P$59:AA$59)/SUMPRODUCT(((P$70:AA$70)="Yes")*P$59:AA$59),AB$71*SUMPRODUCT(((P85:AA85)="Yes")*P$60:AA$60)/SUMPRODUCT(((P$71:AA$71)="Yes")*P$60:AA$60))*(L85/$L$70)*(INDEX('Benchmark-Adjustments'!$H$35:$H$36,MATCH($O$70,'Benchmark-Adjustments'!$E$35:$E$36,0))/INDEX('Benchmark-Adjustments'!$H$35:$H$36,MATCH(O85,'Benchmark-Adjustments'!$E$35:$E$36,0)))</f>
        <v>#N/A</v>
      </c>
      <c r="AC85" s="182"/>
      <c r="AD85" s="132" t="str">
        <f t="shared" si="26"/>
        <v xml:space="preserve"> kWh / tHSCW</v>
      </c>
      <c r="AI85" s="310">
        <v>1</v>
      </c>
      <c r="AJ85" s="104" t="s">
        <v>72</v>
      </c>
      <c r="AK85" s="104"/>
      <c r="AL85" s="136"/>
      <c r="AM85" s="142" t="s">
        <v>77</v>
      </c>
      <c r="AN85" s="142" t="s">
        <v>77</v>
      </c>
      <c r="AO85" s="142"/>
      <c r="AP85" s="142"/>
      <c r="AQ85" s="142" t="s">
        <v>71</v>
      </c>
      <c r="AR85" s="142"/>
      <c r="AS85" s="142"/>
      <c r="AT85" s="142" t="s">
        <v>77</v>
      </c>
      <c r="AU85" s="142" t="s">
        <v>77</v>
      </c>
      <c r="AV85" s="142"/>
      <c r="AW85" s="142"/>
      <c r="AX85" s="142"/>
      <c r="AY85" s="181" t="e">
        <f>IF(AJ85="Thermal",AY$70*SUMPRODUCT(((AM85:AX85)="Yes")*AM$59:AX$59)/SUMPRODUCT(((AM$70:AX$70)="Yes")*AM$59:AX$59),AY$71*SUMPRODUCT(((AM85:AX85)="Yes")*AM$60:AX$60)/SUMPRODUCT(((AM$71:AX$71)="Yes")*AM$60:AX$60))*(AI85/$AI$70)*(INDEX('Benchmark-Adjustments'!$H$35:$H$36,MATCH(AL85,'Benchmark-Adjustments'!$E$35:$E$36,0))/INDEX('Benchmark-Adjustments'!$H$35:$H$36,MATCH($AL$70,'Benchmark-Adjustments'!$E$35:$E$36,0)))</f>
        <v>#N/A</v>
      </c>
      <c r="AZ85" s="182"/>
      <c r="BA85" s="132" t="str">
        <f t="shared" si="27"/>
        <v xml:space="preserve"> kWh / tHSCW</v>
      </c>
    </row>
    <row r="86" spans="12:53" s="150" customFormat="1" ht="25.5" customHeight="1" x14ac:dyDescent="0.25">
      <c r="L86" s="310">
        <v>1</v>
      </c>
      <c r="M86" s="104" t="s">
        <v>84</v>
      </c>
      <c r="N86" s="104"/>
      <c r="O86" s="136"/>
      <c r="P86" s="142" t="s">
        <v>77</v>
      </c>
      <c r="Q86" s="142" t="s">
        <v>77</v>
      </c>
      <c r="R86" s="142"/>
      <c r="S86" s="142"/>
      <c r="T86" s="142" t="s">
        <v>77</v>
      </c>
      <c r="U86" s="142"/>
      <c r="V86" s="142"/>
      <c r="W86" s="142" t="s">
        <v>77</v>
      </c>
      <c r="X86" s="142" t="s">
        <v>77</v>
      </c>
      <c r="Y86" s="142"/>
      <c r="Z86" s="142"/>
      <c r="AA86" s="142"/>
      <c r="AB86" s="181" t="e">
        <f>IF(M86="Thermal",AB$70*SUMPRODUCT(((P86:AA86)="Yes")*P$59:AA$59)/SUMPRODUCT(((P$70:AA$70)="Yes")*P$59:AA$59),AB$71*SUMPRODUCT(((P86:AA86)="Yes")*P$60:AA$60)/SUMPRODUCT(((P$71:AA$71)="Yes")*P$60:AA$60))*(L86/$L$70)*(INDEX('Benchmark-Adjustments'!$H$35:$H$36,MATCH($O$70,'Benchmark-Adjustments'!$E$35:$E$36,0))/INDEX('Benchmark-Adjustments'!$H$35:$H$36,MATCH(O86,'Benchmark-Adjustments'!$E$35:$E$36,0)))</f>
        <v>#N/A</v>
      </c>
      <c r="AC86" s="182"/>
      <c r="AD86" s="132" t="str">
        <f t="shared" si="26"/>
        <v xml:space="preserve"> MJ / tHSCW</v>
      </c>
      <c r="AI86" s="310">
        <v>1</v>
      </c>
      <c r="AJ86" s="104" t="s">
        <v>84</v>
      </c>
      <c r="AK86" s="104"/>
      <c r="AL86" s="136"/>
      <c r="AM86" s="142" t="s">
        <v>77</v>
      </c>
      <c r="AN86" s="142" t="s">
        <v>77</v>
      </c>
      <c r="AO86" s="142"/>
      <c r="AP86" s="142"/>
      <c r="AQ86" s="142" t="s">
        <v>71</v>
      </c>
      <c r="AR86" s="142"/>
      <c r="AS86" s="142"/>
      <c r="AT86" s="142" t="s">
        <v>77</v>
      </c>
      <c r="AU86" s="142" t="s">
        <v>77</v>
      </c>
      <c r="AV86" s="142"/>
      <c r="AW86" s="142"/>
      <c r="AX86" s="142"/>
      <c r="AY86" s="181" t="e">
        <f>IF(AJ86="Thermal",AY$70*SUMPRODUCT(((AM86:AX86)="Yes")*AM$59:AX$59)/SUMPRODUCT(((AM$70:AX$70)="Yes")*AM$59:AX$59),AY$71*SUMPRODUCT(((AM86:AX86)="Yes")*AM$60:AX$60)/SUMPRODUCT(((AM$71:AX$71)="Yes")*AM$60:AX$60))*(AI86/$AI$70)*(INDEX('Benchmark-Adjustments'!$H$35:$H$36,MATCH(AL86,'Benchmark-Adjustments'!$E$35:$E$36,0))/INDEX('Benchmark-Adjustments'!$H$35:$H$36,MATCH($AL$70,'Benchmark-Adjustments'!$E$35:$E$36,0)))</f>
        <v>#N/A</v>
      </c>
      <c r="AZ86" s="182"/>
      <c r="BA86" s="132" t="str">
        <f t="shared" si="27"/>
        <v xml:space="preserve"> MJ / tHSCW</v>
      </c>
    </row>
    <row r="87" spans="12:53" s="150" customFormat="1" ht="25.5" customHeight="1" x14ac:dyDescent="0.25">
      <c r="L87" s="310">
        <v>1</v>
      </c>
      <c r="M87" s="104" t="s">
        <v>72</v>
      </c>
      <c r="N87" s="104"/>
      <c r="O87" s="136"/>
      <c r="P87" s="142" t="s">
        <v>77</v>
      </c>
      <c r="Q87" s="142" t="s">
        <v>77</v>
      </c>
      <c r="R87" s="142"/>
      <c r="S87" s="142"/>
      <c r="T87" s="142" t="s">
        <v>77</v>
      </c>
      <c r="U87" s="142"/>
      <c r="V87" s="142"/>
      <c r="W87" s="142" t="s">
        <v>77</v>
      </c>
      <c r="X87" s="142" t="s">
        <v>77</v>
      </c>
      <c r="Y87" s="142"/>
      <c r="Z87" s="142"/>
      <c r="AA87" s="142"/>
      <c r="AB87" s="181" t="e">
        <f>IF(M87="Thermal",AB$70*SUMPRODUCT(((P87:AA87)="Yes")*P$59:AA$59)/SUMPRODUCT(((P$70:AA$70)="Yes")*P$59:AA$59),AB$71*SUMPRODUCT(((P87:AA87)="Yes")*P$60:AA$60)/SUMPRODUCT(((P$71:AA$71)="Yes")*P$60:AA$60))*(L87/$L$70)*(INDEX('Benchmark-Adjustments'!$H$35:$H$36,MATCH($O$70,'Benchmark-Adjustments'!$E$35:$E$36,0))/INDEX('Benchmark-Adjustments'!$H$35:$H$36,MATCH(O87,'Benchmark-Adjustments'!$E$35:$E$36,0)))</f>
        <v>#N/A</v>
      </c>
      <c r="AC87" s="182"/>
      <c r="AD87" s="132" t="str">
        <f t="shared" si="26"/>
        <v xml:space="preserve"> kWh / tHSCW</v>
      </c>
      <c r="AI87" s="310">
        <v>1</v>
      </c>
      <c r="AJ87" s="104" t="s">
        <v>72</v>
      </c>
      <c r="AK87" s="104"/>
      <c r="AL87" s="136"/>
      <c r="AM87" s="142" t="s">
        <v>77</v>
      </c>
      <c r="AN87" s="142" t="s">
        <v>77</v>
      </c>
      <c r="AO87" s="142"/>
      <c r="AP87" s="142"/>
      <c r="AQ87" s="142" t="s">
        <v>71</v>
      </c>
      <c r="AR87" s="142"/>
      <c r="AS87" s="142"/>
      <c r="AT87" s="142" t="s">
        <v>77</v>
      </c>
      <c r="AU87" s="142" t="s">
        <v>77</v>
      </c>
      <c r="AV87" s="142"/>
      <c r="AW87" s="142"/>
      <c r="AX87" s="142"/>
      <c r="AY87" s="181" t="e">
        <f>IF(AJ87="Thermal",AY$70*SUMPRODUCT(((AM87:AX87)="Yes")*AM$59:AX$59)/SUMPRODUCT(((AM$70:AX$70)="Yes")*AM$59:AX$59),AY$71*SUMPRODUCT(((AM87:AX87)="Yes")*AM$60:AX$60)/SUMPRODUCT(((AM$71:AX$71)="Yes")*AM$60:AX$60))*(AI87/$AI$70)*(INDEX('Benchmark-Adjustments'!$H$35:$H$36,MATCH(AL87,'Benchmark-Adjustments'!$E$35:$E$36,0))/INDEX('Benchmark-Adjustments'!$H$35:$H$36,MATCH($AL$70,'Benchmark-Adjustments'!$E$35:$E$36,0)))</f>
        <v>#N/A</v>
      </c>
      <c r="AZ87" s="182"/>
      <c r="BA87" s="132" t="str">
        <f t="shared" si="27"/>
        <v xml:space="preserve"> kWh / tHSCW</v>
      </c>
    </row>
    <row r="88" spans="12:53" s="150" customFormat="1" ht="25.5" customHeight="1" x14ac:dyDescent="0.25">
      <c r="L88" s="310">
        <v>1</v>
      </c>
      <c r="M88" s="104" t="s">
        <v>84</v>
      </c>
      <c r="N88" s="104"/>
      <c r="O88" s="136"/>
      <c r="P88" s="142" t="s">
        <v>77</v>
      </c>
      <c r="Q88" s="142" t="s">
        <v>77</v>
      </c>
      <c r="R88" s="142"/>
      <c r="S88" s="142"/>
      <c r="T88" s="142" t="s">
        <v>77</v>
      </c>
      <c r="U88" s="142"/>
      <c r="V88" s="142"/>
      <c r="W88" s="142" t="s">
        <v>77</v>
      </c>
      <c r="X88" s="142" t="s">
        <v>77</v>
      </c>
      <c r="Y88" s="142"/>
      <c r="Z88" s="142"/>
      <c r="AA88" s="142"/>
      <c r="AB88" s="181" t="e">
        <f>IF(M88="Thermal",AB$70*SUMPRODUCT(((P88:AA88)="Yes")*P$59:AA$59)/SUMPRODUCT(((P$70:AA$70)="Yes")*P$59:AA$59),AB$71*SUMPRODUCT(((P88:AA88)="Yes")*P$60:AA$60)/SUMPRODUCT(((P$71:AA$71)="Yes")*P$60:AA$60))*(L88/$L$70)*(INDEX('Benchmark-Adjustments'!$H$35:$H$36,MATCH($O$70,'Benchmark-Adjustments'!$E$35:$E$36,0))/INDEX('Benchmark-Adjustments'!$H$35:$H$36,MATCH(O88,'Benchmark-Adjustments'!$E$35:$E$36,0)))</f>
        <v>#N/A</v>
      </c>
      <c r="AC88" s="182"/>
      <c r="AD88" s="132" t="str">
        <f t="shared" si="26"/>
        <v xml:space="preserve"> MJ / tHSCW</v>
      </c>
      <c r="AI88" s="310">
        <v>1</v>
      </c>
      <c r="AJ88" s="104" t="s">
        <v>84</v>
      </c>
      <c r="AK88" s="104"/>
      <c r="AL88" s="136"/>
      <c r="AM88" s="142" t="s">
        <v>77</v>
      </c>
      <c r="AN88" s="142" t="s">
        <v>77</v>
      </c>
      <c r="AO88" s="142"/>
      <c r="AP88" s="142"/>
      <c r="AQ88" s="142" t="s">
        <v>71</v>
      </c>
      <c r="AR88" s="142"/>
      <c r="AS88" s="142"/>
      <c r="AT88" s="142" t="s">
        <v>77</v>
      </c>
      <c r="AU88" s="142" t="s">
        <v>77</v>
      </c>
      <c r="AV88" s="142"/>
      <c r="AW88" s="142"/>
      <c r="AX88" s="142"/>
      <c r="AY88" s="181" t="e">
        <f>IF(AJ88="Thermal",AY$70*SUMPRODUCT(((AM88:AX88)="Yes")*AM$59:AX$59)/SUMPRODUCT(((AM$70:AX$70)="Yes")*AM$59:AX$59),AY$71*SUMPRODUCT(((AM88:AX88)="Yes")*AM$60:AX$60)/SUMPRODUCT(((AM$71:AX$71)="Yes")*AM$60:AX$60))*(AI88/$AI$70)*(INDEX('Benchmark-Adjustments'!$H$35:$H$36,MATCH(AL88,'Benchmark-Adjustments'!$E$35:$E$36,0))/INDEX('Benchmark-Adjustments'!$H$35:$H$36,MATCH($AL$70,'Benchmark-Adjustments'!$E$35:$E$36,0)))</f>
        <v>#N/A</v>
      </c>
      <c r="AZ88" s="182"/>
      <c r="BA88" s="132" t="str">
        <f t="shared" si="27"/>
        <v xml:space="preserve"> MJ / tHSCW</v>
      </c>
    </row>
    <row r="89" spans="12:53" s="150" customFormat="1" ht="25.5" customHeight="1" x14ac:dyDescent="0.25">
      <c r="L89" s="310">
        <v>1</v>
      </c>
      <c r="M89" s="104" t="s">
        <v>72</v>
      </c>
      <c r="N89" s="104"/>
      <c r="O89" s="136"/>
      <c r="P89" s="142" t="s">
        <v>77</v>
      </c>
      <c r="Q89" s="142" t="s">
        <v>77</v>
      </c>
      <c r="R89" s="142"/>
      <c r="S89" s="142"/>
      <c r="T89" s="142" t="s">
        <v>77</v>
      </c>
      <c r="U89" s="142"/>
      <c r="V89" s="142"/>
      <c r="W89" s="142" t="s">
        <v>77</v>
      </c>
      <c r="X89" s="142" t="s">
        <v>77</v>
      </c>
      <c r="Y89" s="142"/>
      <c r="Z89" s="142"/>
      <c r="AA89" s="142"/>
      <c r="AB89" s="181" t="e">
        <f>IF(M89="Thermal",AB$70*SUMPRODUCT(((P89:AA89)="Yes")*P$59:AA$59)/SUMPRODUCT(((P$70:AA$70)="Yes")*P$59:AA$59),AB$71*SUMPRODUCT(((P89:AA89)="Yes")*P$60:AA$60)/SUMPRODUCT(((P$71:AA$71)="Yes")*P$60:AA$60))*(L89/$L$70)*(INDEX('Benchmark-Adjustments'!$H$35:$H$36,MATCH($O$70,'Benchmark-Adjustments'!$E$35:$E$36,0))/INDEX('Benchmark-Adjustments'!$H$35:$H$36,MATCH(O89,'Benchmark-Adjustments'!$E$35:$E$36,0)))</f>
        <v>#N/A</v>
      </c>
      <c r="AC89" s="182"/>
      <c r="AD89" s="132" t="str">
        <f t="shared" si="26"/>
        <v xml:space="preserve"> kWh / tHSCW</v>
      </c>
      <c r="AI89" s="310">
        <v>1</v>
      </c>
      <c r="AJ89" s="104" t="s">
        <v>72</v>
      </c>
      <c r="AK89" s="104"/>
      <c r="AL89" s="136"/>
      <c r="AM89" s="142" t="s">
        <v>77</v>
      </c>
      <c r="AN89" s="142" t="s">
        <v>77</v>
      </c>
      <c r="AO89" s="142"/>
      <c r="AP89" s="142"/>
      <c r="AQ89" s="142" t="s">
        <v>71</v>
      </c>
      <c r="AR89" s="142"/>
      <c r="AS89" s="142"/>
      <c r="AT89" s="142" t="s">
        <v>77</v>
      </c>
      <c r="AU89" s="142" t="s">
        <v>77</v>
      </c>
      <c r="AV89" s="142"/>
      <c r="AW89" s="142"/>
      <c r="AX89" s="142"/>
      <c r="AY89" s="181" t="e">
        <f>IF(AJ89="Thermal",AY$70*SUMPRODUCT(((AM89:AX89)="Yes")*AM$59:AX$59)/SUMPRODUCT(((AM$70:AX$70)="Yes")*AM$59:AX$59),AY$71*SUMPRODUCT(((AM89:AX89)="Yes")*AM$60:AX$60)/SUMPRODUCT(((AM$71:AX$71)="Yes")*AM$60:AX$60))*(AI89/$AI$70)*(INDEX('Benchmark-Adjustments'!$H$35:$H$36,MATCH(AL89,'Benchmark-Adjustments'!$E$35:$E$36,0))/INDEX('Benchmark-Adjustments'!$H$35:$H$36,MATCH($AL$70,'Benchmark-Adjustments'!$E$35:$E$36,0)))</f>
        <v>#N/A</v>
      </c>
      <c r="AZ89" s="182"/>
      <c r="BA89" s="132" t="str">
        <f t="shared" si="27"/>
        <v xml:space="preserve"> kWh / tHSCW</v>
      </c>
    </row>
    <row r="90" spans="12:53" s="150" customFormat="1" ht="25.5" customHeight="1" x14ac:dyDescent="0.25">
      <c r="L90" s="310">
        <v>1</v>
      </c>
      <c r="M90" s="104" t="s">
        <v>84</v>
      </c>
      <c r="N90" s="104"/>
      <c r="O90" s="136"/>
      <c r="P90" s="142" t="s">
        <v>77</v>
      </c>
      <c r="Q90" s="142" t="s">
        <v>77</v>
      </c>
      <c r="R90" s="142"/>
      <c r="S90" s="142"/>
      <c r="T90" s="142" t="s">
        <v>77</v>
      </c>
      <c r="U90" s="142"/>
      <c r="V90" s="142"/>
      <c r="W90" s="142" t="s">
        <v>77</v>
      </c>
      <c r="X90" s="142" t="s">
        <v>77</v>
      </c>
      <c r="Y90" s="142"/>
      <c r="Z90" s="142"/>
      <c r="AA90" s="142"/>
      <c r="AB90" s="181" t="e">
        <f>IF(M90="Thermal",AB$70*SUMPRODUCT(((P90:AA90)="Yes")*P$59:AA$59)/SUMPRODUCT(((P$70:AA$70)="Yes")*P$59:AA$59),AB$71*SUMPRODUCT(((P90:AA90)="Yes")*P$60:AA$60)/SUMPRODUCT(((P$71:AA$71)="Yes")*P$60:AA$60))*(L90/$L$70)*(INDEX('Benchmark-Adjustments'!$H$35:$H$36,MATCH($O$70,'Benchmark-Adjustments'!$E$35:$E$36,0))/INDEX('Benchmark-Adjustments'!$H$35:$H$36,MATCH(O90,'Benchmark-Adjustments'!$E$35:$E$36,0)))</f>
        <v>#N/A</v>
      </c>
      <c r="AC90" s="182"/>
      <c r="AD90" s="132" t="str">
        <f t="shared" si="26"/>
        <v xml:space="preserve"> MJ / tHSCW</v>
      </c>
      <c r="AI90" s="310">
        <v>1</v>
      </c>
      <c r="AJ90" s="104" t="s">
        <v>84</v>
      </c>
      <c r="AK90" s="104"/>
      <c r="AL90" s="136"/>
      <c r="AM90" s="142" t="s">
        <v>77</v>
      </c>
      <c r="AN90" s="142" t="s">
        <v>77</v>
      </c>
      <c r="AO90" s="142"/>
      <c r="AP90" s="142"/>
      <c r="AQ90" s="142" t="s">
        <v>71</v>
      </c>
      <c r="AR90" s="142"/>
      <c r="AS90" s="142"/>
      <c r="AT90" s="142" t="s">
        <v>77</v>
      </c>
      <c r="AU90" s="142" t="s">
        <v>77</v>
      </c>
      <c r="AV90" s="142"/>
      <c r="AW90" s="142"/>
      <c r="AX90" s="142"/>
      <c r="AY90" s="181" t="e">
        <f>IF(AJ90="Thermal",AY$70*SUMPRODUCT(((AM90:AX90)="Yes")*AM$59:AX$59)/SUMPRODUCT(((AM$70:AX$70)="Yes")*AM$59:AX$59),AY$71*SUMPRODUCT(((AM90:AX90)="Yes")*AM$60:AX$60)/SUMPRODUCT(((AM$71:AX$71)="Yes")*AM$60:AX$60))*(AI90/$AI$70)*(INDEX('Benchmark-Adjustments'!$H$35:$H$36,MATCH(AL90,'Benchmark-Adjustments'!$E$35:$E$36,0))/INDEX('Benchmark-Adjustments'!$H$35:$H$36,MATCH($AL$70,'Benchmark-Adjustments'!$E$35:$E$36,0)))</f>
        <v>#N/A</v>
      </c>
      <c r="AZ90" s="182"/>
      <c r="BA90" s="132" t="str">
        <f t="shared" si="27"/>
        <v xml:space="preserve"> MJ / tHSCW</v>
      </c>
    </row>
    <row r="91" spans="12:53" s="150" customFormat="1" ht="25.5" customHeight="1" x14ac:dyDescent="0.25">
      <c r="L91" s="310">
        <v>1</v>
      </c>
      <c r="M91" s="104" t="s">
        <v>72</v>
      </c>
      <c r="N91" s="104"/>
      <c r="O91" s="136"/>
      <c r="P91" s="142" t="s">
        <v>77</v>
      </c>
      <c r="Q91" s="142" t="s">
        <v>77</v>
      </c>
      <c r="R91" s="142"/>
      <c r="S91" s="142"/>
      <c r="T91" s="142" t="s">
        <v>77</v>
      </c>
      <c r="U91" s="142"/>
      <c r="V91" s="142"/>
      <c r="W91" s="142" t="s">
        <v>77</v>
      </c>
      <c r="X91" s="142" t="s">
        <v>77</v>
      </c>
      <c r="Y91" s="142"/>
      <c r="Z91" s="142"/>
      <c r="AA91" s="142"/>
      <c r="AB91" s="181" t="e">
        <f>IF(M91="Thermal",AB$70*SUMPRODUCT(((P91:AA91)="Yes")*P$59:AA$59)/SUMPRODUCT(((P$70:AA$70)="Yes")*P$59:AA$59),AB$71*SUMPRODUCT(((P91:AA91)="Yes")*P$60:AA$60)/SUMPRODUCT(((P$71:AA$71)="Yes")*P$60:AA$60))*(L91/$L$70)*(INDEX('Benchmark-Adjustments'!$H$35:$H$36,MATCH($O$70,'Benchmark-Adjustments'!$E$35:$E$36,0))/INDEX('Benchmark-Adjustments'!$H$35:$H$36,MATCH(O91,'Benchmark-Adjustments'!$E$35:$E$36,0)))</f>
        <v>#N/A</v>
      </c>
      <c r="AC91" s="182"/>
      <c r="AD91" s="132" t="str">
        <f t="shared" si="26"/>
        <v xml:space="preserve"> kWh / tHSCW</v>
      </c>
      <c r="AI91" s="310">
        <v>1</v>
      </c>
      <c r="AJ91" s="104" t="s">
        <v>72</v>
      </c>
      <c r="AK91" s="104"/>
      <c r="AL91" s="136"/>
      <c r="AM91" s="142" t="s">
        <v>77</v>
      </c>
      <c r="AN91" s="142" t="s">
        <v>77</v>
      </c>
      <c r="AO91" s="142"/>
      <c r="AP91" s="142"/>
      <c r="AQ91" s="142" t="s">
        <v>71</v>
      </c>
      <c r="AR91" s="142"/>
      <c r="AS91" s="142"/>
      <c r="AT91" s="142" t="s">
        <v>77</v>
      </c>
      <c r="AU91" s="142" t="s">
        <v>77</v>
      </c>
      <c r="AV91" s="142"/>
      <c r="AW91" s="142"/>
      <c r="AX91" s="142"/>
      <c r="AY91" s="181" t="e">
        <f>IF(AJ91="Thermal",AY$70*SUMPRODUCT(((AM91:AX91)="Yes")*AM$59:AX$59)/SUMPRODUCT(((AM$70:AX$70)="Yes")*AM$59:AX$59),AY$71*SUMPRODUCT(((AM91:AX91)="Yes")*AM$60:AX$60)/SUMPRODUCT(((AM$71:AX$71)="Yes")*AM$60:AX$60))*(AI91/$AI$70)*(INDEX('Benchmark-Adjustments'!$H$35:$H$36,MATCH(AL91,'Benchmark-Adjustments'!$E$35:$E$36,0))/INDEX('Benchmark-Adjustments'!$H$35:$H$36,MATCH($AL$70,'Benchmark-Adjustments'!$E$35:$E$36,0)))</f>
        <v>#N/A</v>
      </c>
      <c r="AZ91" s="182"/>
      <c r="BA91" s="132" t="str">
        <f t="shared" si="27"/>
        <v xml:space="preserve"> kWh / tHSCW</v>
      </c>
    </row>
    <row r="92" spans="12:53" s="150" customFormat="1" ht="25.5" customHeight="1" x14ac:dyDescent="0.25">
      <c r="L92" s="310">
        <v>1</v>
      </c>
      <c r="M92" s="104" t="s">
        <v>84</v>
      </c>
      <c r="N92" s="104"/>
      <c r="O92" s="136"/>
      <c r="P92" s="142" t="s">
        <v>77</v>
      </c>
      <c r="Q92" s="142" t="s">
        <v>77</v>
      </c>
      <c r="R92" s="142"/>
      <c r="S92" s="142"/>
      <c r="T92" s="142" t="s">
        <v>77</v>
      </c>
      <c r="U92" s="142"/>
      <c r="V92" s="142"/>
      <c r="W92" s="142" t="s">
        <v>77</v>
      </c>
      <c r="X92" s="142" t="s">
        <v>77</v>
      </c>
      <c r="Y92" s="142"/>
      <c r="Z92" s="142"/>
      <c r="AA92" s="142"/>
      <c r="AB92" s="181" t="e">
        <f>IF(M92="Thermal",AB$70*SUMPRODUCT(((P92:AA92)="Yes")*P$59:AA$59)/SUMPRODUCT(((P$70:AA$70)="Yes")*P$59:AA$59),AB$71*SUMPRODUCT(((P92:AA92)="Yes")*P$60:AA$60)/SUMPRODUCT(((P$71:AA$71)="Yes")*P$60:AA$60))*(L92/$L$70)*(INDEX('Benchmark-Adjustments'!$H$35:$H$36,MATCH($O$70,'Benchmark-Adjustments'!$E$35:$E$36,0))/INDEX('Benchmark-Adjustments'!$H$35:$H$36,MATCH(O92,'Benchmark-Adjustments'!$E$35:$E$36,0)))</f>
        <v>#N/A</v>
      </c>
      <c r="AC92" s="182"/>
      <c r="AD92" s="132" t="str">
        <f t="shared" si="26"/>
        <v xml:space="preserve"> MJ / tHSCW</v>
      </c>
      <c r="AI92" s="310">
        <v>1</v>
      </c>
      <c r="AJ92" s="104" t="s">
        <v>84</v>
      </c>
      <c r="AK92" s="104"/>
      <c r="AL92" s="136"/>
      <c r="AM92" s="142" t="s">
        <v>77</v>
      </c>
      <c r="AN92" s="142" t="s">
        <v>77</v>
      </c>
      <c r="AO92" s="142"/>
      <c r="AP92" s="142"/>
      <c r="AQ92" s="142" t="s">
        <v>71</v>
      </c>
      <c r="AR92" s="142"/>
      <c r="AS92" s="142"/>
      <c r="AT92" s="142" t="s">
        <v>77</v>
      </c>
      <c r="AU92" s="142" t="s">
        <v>77</v>
      </c>
      <c r="AV92" s="142"/>
      <c r="AW92" s="142"/>
      <c r="AX92" s="142"/>
      <c r="AY92" s="181" t="e">
        <f>IF(AJ92="Thermal",AY$70*SUMPRODUCT(((AM92:AX92)="Yes")*AM$59:AX$59)/SUMPRODUCT(((AM$70:AX$70)="Yes")*AM$59:AX$59),AY$71*SUMPRODUCT(((AM92:AX92)="Yes")*AM$60:AX$60)/SUMPRODUCT(((AM$71:AX$71)="Yes")*AM$60:AX$60))*(AI92/$AI$70)*(INDEX('Benchmark-Adjustments'!$H$35:$H$36,MATCH(AL92,'Benchmark-Adjustments'!$E$35:$E$36,0))/INDEX('Benchmark-Adjustments'!$H$35:$H$36,MATCH($AL$70,'Benchmark-Adjustments'!$E$35:$E$36,0)))</f>
        <v>#N/A</v>
      </c>
      <c r="AZ92" s="182"/>
      <c r="BA92" s="132" t="str">
        <f t="shared" si="27"/>
        <v xml:space="preserve"> MJ / tHSCW</v>
      </c>
    </row>
    <row r="93" spans="12:53" s="150" customFormat="1" ht="25.5" customHeight="1" x14ac:dyDescent="0.25">
      <c r="L93" s="310">
        <v>1</v>
      </c>
      <c r="M93" s="104" t="s">
        <v>72</v>
      </c>
      <c r="N93" s="104"/>
      <c r="O93" s="136"/>
      <c r="P93" s="142" t="s">
        <v>77</v>
      </c>
      <c r="Q93" s="142" t="s">
        <v>77</v>
      </c>
      <c r="R93" s="142"/>
      <c r="S93" s="142"/>
      <c r="T93" s="142" t="s">
        <v>77</v>
      </c>
      <c r="U93" s="142"/>
      <c r="V93" s="142"/>
      <c r="W93" s="142" t="s">
        <v>77</v>
      </c>
      <c r="X93" s="142" t="s">
        <v>77</v>
      </c>
      <c r="Y93" s="142"/>
      <c r="Z93" s="142"/>
      <c r="AA93" s="142"/>
      <c r="AB93" s="181" t="e">
        <f>IF(M93="Thermal",AB$70*SUMPRODUCT(((P93:AA93)="Yes")*P$59:AA$59)/SUMPRODUCT(((P$70:AA$70)="Yes")*P$59:AA$59),AB$71*SUMPRODUCT(((P93:AA93)="Yes")*P$60:AA$60)/SUMPRODUCT(((P$71:AA$71)="Yes")*P$60:AA$60))*(L93/$L$70)*(INDEX('Benchmark-Adjustments'!$H$35:$H$36,MATCH($O$70,'Benchmark-Adjustments'!$E$35:$E$36,0))/INDEX('Benchmark-Adjustments'!$H$35:$H$36,MATCH(O93,'Benchmark-Adjustments'!$E$35:$E$36,0)))</f>
        <v>#N/A</v>
      </c>
      <c r="AC93" s="182"/>
      <c r="AD93" s="132" t="str">
        <f t="shared" si="26"/>
        <v xml:space="preserve"> kWh / tHSCW</v>
      </c>
      <c r="AI93" s="310">
        <v>1</v>
      </c>
      <c r="AJ93" s="104" t="s">
        <v>72</v>
      </c>
      <c r="AK93" s="104"/>
      <c r="AL93" s="136"/>
      <c r="AM93" s="142" t="s">
        <v>77</v>
      </c>
      <c r="AN93" s="142" t="s">
        <v>77</v>
      </c>
      <c r="AO93" s="142"/>
      <c r="AP93" s="142"/>
      <c r="AQ93" s="142" t="s">
        <v>71</v>
      </c>
      <c r="AR93" s="142"/>
      <c r="AS93" s="142"/>
      <c r="AT93" s="142" t="s">
        <v>77</v>
      </c>
      <c r="AU93" s="142" t="s">
        <v>77</v>
      </c>
      <c r="AV93" s="142"/>
      <c r="AW93" s="142"/>
      <c r="AX93" s="142"/>
      <c r="AY93" s="181" t="e">
        <f>IF(AJ93="Thermal",AY$70*SUMPRODUCT(((AM93:AX93)="Yes")*AM$59:AX$59)/SUMPRODUCT(((AM$70:AX$70)="Yes")*AM$59:AX$59),AY$71*SUMPRODUCT(((AM93:AX93)="Yes")*AM$60:AX$60)/SUMPRODUCT(((AM$71:AX$71)="Yes")*AM$60:AX$60))*(AI93/$AI$70)*(INDEX('Benchmark-Adjustments'!$H$35:$H$36,MATCH(AL93,'Benchmark-Adjustments'!$E$35:$E$36,0))/INDEX('Benchmark-Adjustments'!$H$35:$H$36,MATCH($AL$70,'Benchmark-Adjustments'!$E$35:$E$36,0)))</f>
        <v>#N/A</v>
      </c>
      <c r="AZ93" s="182"/>
      <c r="BA93" s="132" t="str">
        <f t="shared" si="27"/>
        <v xml:space="preserve"> kWh / tHSCW</v>
      </c>
    </row>
    <row r="94" spans="12:53" x14ac:dyDescent="0.25">
      <c r="AJ94" s="151"/>
      <c r="AK94" s="173"/>
      <c r="AL94" s="173"/>
    </row>
    <row r="96" spans="12:53" ht="13" x14ac:dyDescent="0.3">
      <c r="L96" s="177" t="str">
        <f>B9</f>
        <v>5) From literature review, import spread of site performance to establish dial gauge range</v>
      </c>
      <c r="AK96" s="173"/>
      <c r="AL96" s="173"/>
    </row>
    <row r="97" spans="13:41" x14ac:dyDescent="0.25">
      <c r="AK97" s="173"/>
      <c r="AL97" s="173"/>
    </row>
    <row r="98" spans="13:41" ht="13" x14ac:dyDescent="0.3">
      <c r="M98" s="148"/>
      <c r="N98" s="294" t="s">
        <v>542</v>
      </c>
      <c r="O98" s="108"/>
      <c r="P98" s="108"/>
      <c r="Q98" s="108"/>
      <c r="AK98" s="173"/>
      <c r="AL98" s="173"/>
    </row>
    <row r="99" spans="13:41" x14ac:dyDescent="0.25">
      <c r="M99" s="148"/>
      <c r="N99" s="151"/>
      <c r="O99" s="149"/>
      <c r="AK99" s="173"/>
      <c r="AL99" s="173"/>
      <c r="AM99" s="173"/>
      <c r="AN99" s="173"/>
      <c r="AO99" s="173"/>
    </row>
    <row r="100" spans="13:41" x14ac:dyDescent="0.25">
      <c r="M100" s="148"/>
      <c r="N100" s="151"/>
      <c r="O100" s="149"/>
      <c r="T100" s="253"/>
      <c r="AK100" s="173"/>
      <c r="AL100" s="173"/>
      <c r="AM100" s="173"/>
      <c r="AN100" s="173"/>
      <c r="AO100" s="173"/>
    </row>
    <row r="101" spans="13:41" x14ac:dyDescent="0.25">
      <c r="M101" s="148"/>
      <c r="N101" s="151"/>
      <c r="O101" s="149"/>
      <c r="T101" s="173"/>
      <c r="U101" s="173"/>
      <c r="AK101" s="173"/>
      <c r="AL101" s="173"/>
      <c r="AM101" s="173"/>
      <c r="AN101" s="173"/>
      <c r="AO101" s="173"/>
    </row>
    <row r="102" spans="13:41" x14ac:dyDescent="0.25">
      <c r="M102" s="148"/>
      <c r="N102" s="151"/>
      <c r="O102" s="149"/>
      <c r="AK102" s="173"/>
      <c r="AL102" s="173"/>
      <c r="AM102" s="173"/>
      <c r="AN102" s="173"/>
      <c r="AO102" s="173"/>
    </row>
    <row r="103" spans="13:41" ht="25" x14ac:dyDescent="0.25">
      <c r="M103" s="148"/>
      <c r="N103" s="151"/>
      <c r="O103" s="149"/>
      <c r="U103" s="147" t="s">
        <v>340</v>
      </c>
      <c r="V103" s="147" t="s">
        <v>341</v>
      </c>
      <c r="W103" s="170" t="s">
        <v>345</v>
      </c>
      <c r="X103" s="145" t="s">
        <v>402</v>
      </c>
      <c r="Y103" s="147" t="s">
        <v>338</v>
      </c>
      <c r="AK103" s="173"/>
      <c r="AL103" s="173"/>
      <c r="AM103" s="173"/>
      <c r="AN103" s="173"/>
      <c r="AO103" s="173"/>
    </row>
    <row r="104" spans="13:41" ht="15" x14ac:dyDescent="0.3">
      <c r="M104" s="148"/>
      <c r="N104" s="151"/>
      <c r="O104" s="149"/>
      <c r="U104" s="106">
        <v>1200</v>
      </c>
      <c r="V104" s="106">
        <v>4800</v>
      </c>
      <c r="W104" s="146">
        <v>3400</v>
      </c>
      <c r="X104" s="184">
        <f>V104/U104</f>
        <v>4</v>
      </c>
      <c r="Y104" s="146" t="s">
        <v>543</v>
      </c>
      <c r="AK104" s="173"/>
      <c r="AL104" s="173"/>
      <c r="AM104" s="173"/>
      <c r="AN104" s="173"/>
      <c r="AO104" s="173"/>
    </row>
    <row r="105" spans="13:41" x14ac:dyDescent="0.25">
      <c r="M105" s="148"/>
      <c r="N105" s="151"/>
      <c r="O105" s="149"/>
      <c r="AK105" s="173"/>
      <c r="AL105" s="173"/>
      <c r="AM105" s="173"/>
      <c r="AN105" s="173"/>
      <c r="AO105" s="173"/>
    </row>
    <row r="106" spans="13:41" x14ac:dyDescent="0.25">
      <c r="AK106" s="173"/>
      <c r="AL106" s="173"/>
      <c r="AM106" s="173"/>
      <c r="AN106" s="173"/>
      <c r="AO106" s="173"/>
    </row>
    <row r="107" spans="13:41" ht="13" x14ac:dyDescent="0.25">
      <c r="N107" s="295" t="s">
        <v>544</v>
      </c>
      <c r="AK107" s="173"/>
      <c r="AL107" s="173"/>
      <c r="AM107" s="173"/>
      <c r="AN107" s="173"/>
      <c r="AO107" s="173"/>
    </row>
    <row r="108" spans="13:41" x14ac:dyDescent="0.25">
      <c r="AK108" s="173"/>
      <c r="AL108" s="173"/>
      <c r="AM108" s="173"/>
      <c r="AN108" s="173"/>
      <c r="AO108" s="173"/>
    </row>
    <row r="109" spans="13:41" x14ac:dyDescent="0.25">
      <c r="AK109" s="173"/>
      <c r="AL109" s="173"/>
      <c r="AM109" s="173"/>
      <c r="AN109" s="173"/>
      <c r="AO109" s="173"/>
    </row>
    <row r="113" spans="15:24" x14ac:dyDescent="0.25">
      <c r="U113" s="146" t="s">
        <v>412</v>
      </c>
      <c r="X113" s="15"/>
    </row>
    <row r="114" spans="15:24" ht="18" customHeight="1" x14ac:dyDescent="0.25">
      <c r="U114" s="146">
        <f>(5.144)*1000</f>
        <v>5144</v>
      </c>
    </row>
    <row r="115" spans="15:24" ht="18" customHeight="1" x14ac:dyDescent="0.25">
      <c r="U115" s="146">
        <v>5335</v>
      </c>
    </row>
    <row r="116" spans="15:24" ht="18" customHeight="1" x14ac:dyDescent="0.25">
      <c r="U116" s="146">
        <v>4694</v>
      </c>
    </row>
    <row r="117" spans="15:24" ht="18" customHeight="1" x14ac:dyDescent="0.25">
      <c r="U117" s="146">
        <v>4961</v>
      </c>
    </row>
    <row r="118" spans="15:24" ht="18" customHeight="1" x14ac:dyDescent="0.25">
      <c r="U118" s="146">
        <v>3195</v>
      </c>
    </row>
    <row r="119" spans="15:24" ht="18" customHeight="1" x14ac:dyDescent="0.25">
      <c r="U119" s="146">
        <v>3468</v>
      </c>
    </row>
    <row r="120" spans="15:24" ht="18" customHeight="1" x14ac:dyDescent="0.25">
      <c r="U120" s="146">
        <v>2797</v>
      </c>
    </row>
    <row r="122" spans="15:24" ht="13" x14ac:dyDescent="0.3">
      <c r="S122" s="148" t="s">
        <v>341</v>
      </c>
      <c r="U122" s="185">
        <f>MAX($U$114:$U$120)</f>
        <v>5335</v>
      </c>
    </row>
    <row r="123" spans="15:24" ht="13" x14ac:dyDescent="0.3">
      <c r="S123" s="148" t="s">
        <v>340</v>
      </c>
      <c r="U123" s="185">
        <f>MIN($U$114:$U$120)</f>
        <v>2797</v>
      </c>
    </row>
    <row r="124" spans="15:24" ht="13" x14ac:dyDescent="0.3">
      <c r="O124" s="148"/>
      <c r="R124" s="15"/>
      <c r="S124" s="148" t="s">
        <v>402</v>
      </c>
      <c r="U124" s="186">
        <f>U122/U123</f>
        <v>1.9074007865570253</v>
      </c>
    </row>
    <row r="127" spans="15:24" x14ac:dyDescent="0.25">
      <c r="O127" s="148"/>
      <c r="R127" s="15"/>
    </row>
    <row r="128" spans="15:24" ht="22.5" x14ac:dyDescent="0.45">
      <c r="O128" s="148"/>
      <c r="R128" s="15"/>
      <c r="T128" s="188" t="s">
        <v>413</v>
      </c>
      <c r="U128" s="189">
        <f>AVERAGE(X104,U124)</f>
        <v>2.9537003932785124</v>
      </c>
    </row>
    <row r="129" spans="12:23" x14ac:dyDescent="0.25">
      <c r="O129" s="148"/>
      <c r="R129" s="15"/>
    </row>
    <row r="130" spans="12:23" x14ac:dyDescent="0.25">
      <c r="O130" s="148"/>
      <c r="R130" s="15"/>
      <c r="U130" s="97"/>
    </row>
    <row r="131" spans="12:23" x14ac:dyDescent="0.25">
      <c r="O131" s="148"/>
      <c r="R131" s="15"/>
    </row>
    <row r="132" spans="12:23" ht="25.5" customHeight="1" x14ac:dyDescent="0.25">
      <c r="P132" s="703" t="s">
        <v>403</v>
      </c>
      <c r="Q132" s="705" t="s">
        <v>406</v>
      </c>
      <c r="R132" s="706"/>
      <c r="S132" s="707"/>
      <c r="T132" s="702" t="s">
        <v>407</v>
      </c>
      <c r="U132" s="702"/>
      <c r="V132" s="702"/>
      <c r="W132" s="702"/>
    </row>
    <row r="133" spans="12:23" ht="25.5" customHeight="1" x14ac:dyDescent="0.25">
      <c r="P133" s="704"/>
      <c r="Q133" s="708"/>
      <c r="R133" s="709"/>
      <c r="S133" s="710"/>
      <c r="T133" s="702" t="s">
        <v>84</v>
      </c>
      <c r="U133" s="702"/>
      <c r="V133" s="702" t="s">
        <v>72</v>
      </c>
      <c r="W133" s="702"/>
    </row>
    <row r="134" spans="12:23" x14ac:dyDescent="0.25">
      <c r="P134" s="105" t="s">
        <v>83</v>
      </c>
      <c r="Q134" s="711" t="s">
        <v>404</v>
      </c>
      <c r="R134" s="711"/>
      <c r="S134" s="711"/>
      <c r="T134" s="187">
        <f>AB70</f>
        <v>2334</v>
      </c>
      <c r="U134" s="98" t="str">
        <f>AD70</f>
        <v xml:space="preserve"> MJ / tHSCW</v>
      </c>
      <c r="V134" s="187">
        <f>AB71</f>
        <v>257</v>
      </c>
      <c r="W134" s="144" t="str">
        <f>AD71</f>
        <v xml:space="preserve"> kWh / tHSCW</v>
      </c>
    </row>
    <row r="135" spans="12:23" ht="25.5" customHeight="1" x14ac:dyDescent="0.25">
      <c r="P135" s="105" t="s">
        <v>81</v>
      </c>
      <c r="Q135" s="711" t="s">
        <v>405</v>
      </c>
      <c r="R135" s="711"/>
      <c r="S135" s="711"/>
      <c r="T135" s="187">
        <f>AB70*U128</f>
        <v>6893.9367179120482</v>
      </c>
      <c r="U135" s="98" t="str">
        <f>AD70</f>
        <v xml:space="preserve"> MJ / tHSCW</v>
      </c>
      <c r="V135" s="187">
        <f>AB71*U128</f>
        <v>759.10100107257767</v>
      </c>
      <c r="W135" s="98" t="str">
        <f>AD71</f>
        <v xml:space="preserve"> kWh / tHSCW</v>
      </c>
    </row>
    <row r="138" spans="12:23" ht="13" x14ac:dyDescent="0.3">
      <c r="L138" s="177" t="str">
        <f>B10</f>
        <v>6) Establish performance range within dial gauge range for poor, average and good performance</v>
      </c>
      <c r="N138" s="148"/>
    </row>
    <row r="139" spans="12:23" x14ac:dyDescent="0.25">
      <c r="N139" s="148"/>
    </row>
    <row r="140" spans="12:23" s="253" customFormat="1" ht="12.75" customHeight="1" x14ac:dyDescent="0.25">
      <c r="M140" s="256"/>
      <c r="O140" s="173"/>
      <c r="P140" s="702" t="s">
        <v>407</v>
      </c>
      <c r="Q140" s="702"/>
      <c r="R140" s="702"/>
      <c r="S140" s="702"/>
      <c r="T140" s="702"/>
      <c r="U140" s="702"/>
      <c r="V140" s="702"/>
      <c r="W140" s="702"/>
    </row>
    <row r="141" spans="12:23" ht="25" x14ac:dyDescent="0.25">
      <c r="M141" s="105" t="s">
        <v>344</v>
      </c>
      <c r="N141" s="195" t="s">
        <v>440</v>
      </c>
      <c r="O141" s="194" t="s">
        <v>441</v>
      </c>
      <c r="P141" s="702" t="s">
        <v>84</v>
      </c>
      <c r="Q141" s="702"/>
      <c r="R141" s="702"/>
      <c r="S141" s="702"/>
      <c r="T141" s="702" t="s">
        <v>72</v>
      </c>
      <c r="U141" s="702"/>
      <c r="V141" s="702"/>
      <c r="W141" s="702"/>
    </row>
    <row r="142" spans="12:23" ht="13" x14ac:dyDescent="0.25">
      <c r="M142" s="219" t="str">
        <f t="array" ref="M142:M144">Performance_Descriptor_List</f>
        <v>Good</v>
      </c>
      <c r="N142" s="13">
        <v>0</v>
      </c>
      <c r="O142" s="193">
        <v>0.25</v>
      </c>
      <c r="P142" s="261">
        <f>($T$135-$T$134)*$N142+$T$134</f>
        <v>2334</v>
      </c>
      <c r="Q142" s="262" t="s">
        <v>87</v>
      </c>
      <c r="R142" s="263">
        <f>($T$135-$T$134)*$N142+$T$134</f>
        <v>2334</v>
      </c>
      <c r="S142" s="250" t="str">
        <f>$AD$70</f>
        <v xml:space="preserve"> MJ / tHSCW</v>
      </c>
      <c r="T142" s="261">
        <f>($V$135-$V$134)*$N142+$V$134</f>
        <v>257</v>
      </c>
      <c r="U142" s="251" t="s">
        <v>87</v>
      </c>
      <c r="V142" s="263">
        <f>($V$135-$V$134)*$O142+$V$134</f>
        <v>382.52525026814442</v>
      </c>
      <c r="W142" s="250" t="str">
        <f>$AD$71</f>
        <v xml:space="preserve"> kWh / tHSCW</v>
      </c>
    </row>
    <row r="143" spans="12:23" ht="13" x14ac:dyDescent="0.3">
      <c r="M143" s="219" t="str">
        <v>Fair</v>
      </c>
      <c r="N143" s="183">
        <f>O142</f>
        <v>0.25</v>
      </c>
      <c r="O143" s="193">
        <v>0.75</v>
      </c>
      <c r="P143" s="261">
        <f t="shared" ref="P143:R144" si="28">($T$135-$T$134)*$N143+$T$134</f>
        <v>3473.9841794780123</v>
      </c>
      <c r="Q143" s="262" t="s">
        <v>87</v>
      </c>
      <c r="R143" s="263">
        <f t="shared" si="28"/>
        <v>3473.9841794780123</v>
      </c>
      <c r="S143" s="250" t="str">
        <f t="shared" ref="S143:S144" si="29">$AD$70</f>
        <v xml:space="preserve"> MJ / tHSCW</v>
      </c>
      <c r="T143" s="261">
        <f t="shared" ref="T143:T144" si="30">($V$135-$V$134)*$N143+$V$134</f>
        <v>382.52525026814442</v>
      </c>
      <c r="U143" s="251" t="s">
        <v>87</v>
      </c>
      <c r="V143" s="263">
        <f t="shared" ref="V143:V144" si="31">($V$135-$V$134)*$O143+$V$134</f>
        <v>633.57575080443326</v>
      </c>
      <c r="W143" s="250" t="str">
        <f t="shared" ref="W143:W144" si="32">$AD$71</f>
        <v xml:space="preserve"> kWh / tHSCW</v>
      </c>
    </row>
    <row r="144" spans="12:23" ht="13" x14ac:dyDescent="0.3">
      <c r="M144" s="219" t="str">
        <v>Poor</v>
      </c>
      <c r="N144" s="183">
        <f>O143</f>
        <v>0.75</v>
      </c>
      <c r="O144" s="193">
        <v>1</v>
      </c>
      <c r="P144" s="261">
        <f t="shared" si="28"/>
        <v>5753.9525384340359</v>
      </c>
      <c r="Q144" s="262" t="s">
        <v>87</v>
      </c>
      <c r="R144" s="263">
        <f t="shared" si="28"/>
        <v>5753.9525384340359</v>
      </c>
      <c r="S144" s="250" t="str">
        <f t="shared" si="29"/>
        <v xml:space="preserve"> MJ / tHSCW</v>
      </c>
      <c r="T144" s="261">
        <f t="shared" si="30"/>
        <v>633.57575080443326</v>
      </c>
      <c r="U144" s="251" t="s">
        <v>87</v>
      </c>
      <c r="V144" s="263">
        <f t="shared" si="31"/>
        <v>759.10100107257767</v>
      </c>
      <c r="W144" s="250" t="str">
        <f t="shared" si="32"/>
        <v xml:space="preserve"> kWh / tHSCW</v>
      </c>
    </row>
    <row r="145" spans="14:14" x14ac:dyDescent="0.25">
      <c r="N145" s="148"/>
    </row>
    <row r="146" spans="14:14" x14ac:dyDescent="0.25">
      <c r="N146" s="148"/>
    </row>
    <row r="147" spans="14:14" x14ac:dyDescent="0.25">
      <c r="N147" s="148"/>
    </row>
    <row r="148" spans="14:14" x14ac:dyDescent="0.25">
      <c r="N148" s="148"/>
    </row>
  </sheetData>
  <sheetProtection selectLockedCells="1"/>
  <mergeCells count="14">
    <mergeCell ref="L70:L71"/>
    <mergeCell ref="AI70:AI71"/>
    <mergeCell ref="O70:O71"/>
    <mergeCell ref="AL70:AL71"/>
    <mergeCell ref="T141:W141"/>
    <mergeCell ref="P141:S141"/>
    <mergeCell ref="P140:W140"/>
    <mergeCell ref="P132:P133"/>
    <mergeCell ref="Q132:S133"/>
    <mergeCell ref="Q134:S134"/>
    <mergeCell ref="Q135:S135"/>
    <mergeCell ref="T132:W132"/>
    <mergeCell ref="T133:U133"/>
    <mergeCell ref="V133:W133"/>
  </mergeCells>
  <conditionalFormatting sqref="AM70:AX71 P70:AA71 P76:AA93 AM76:AX93">
    <cfRule type="cellIs" dxfId="27" priority="1" operator="equal">
      <formula>"No"</formula>
    </cfRule>
    <cfRule type="cellIs" dxfId="26" priority="2" operator="equal">
      <formula>"Yes"</formula>
    </cfRule>
  </conditionalFormatting>
  <dataValidations count="2">
    <dataValidation type="list" allowBlank="1" showInputMessage="1" showErrorMessage="1" sqref="M70:M71 AJ70:AJ71 M76:M93 AJ76:AJ93" xr:uid="{00000000-0002-0000-0500-000000000000}">
      <formula1>"Thermal,Electricity"</formula1>
    </dataValidation>
    <dataValidation type="list" allowBlank="1" showInputMessage="1" showErrorMessage="1" sqref="AM70:AX71 AM76:AX93 P76:AA93 P70:AA71" xr:uid="{00000000-0002-0000-0500-000001000000}">
      <formula1>"Yes,No"</formula1>
    </dataValidation>
  </dataValidations>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'Drop-downs'!$B$18:$B$19</xm:f>
          </x14:formula1>
          <xm:sqref>AL76:AL93 O76:O93 O70 AL70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1" tint="0.79998168889431442"/>
  </sheetPr>
  <dimension ref="A1:AD122"/>
  <sheetViews>
    <sheetView workbookViewId="0"/>
  </sheetViews>
  <sheetFormatPr defaultColWidth="9.1796875" defaultRowHeight="12.5" x14ac:dyDescent="0.25"/>
  <cols>
    <col min="1" max="1" width="9.1796875" style="148"/>
    <col min="2" max="2" width="38.54296875" style="148" customWidth="1"/>
    <col min="3" max="11" width="9.1796875" style="148"/>
    <col min="12" max="12" width="4.1796875" style="148" customWidth="1"/>
    <col min="13" max="13" width="11" style="151" customWidth="1"/>
    <col min="14" max="14" width="23" style="149" customWidth="1"/>
    <col min="15" max="15" width="8.54296875" style="148" bestFit="1" customWidth="1"/>
    <col min="16" max="27" width="11" style="148" customWidth="1"/>
    <col min="28" max="28" width="6.54296875" style="150" customWidth="1"/>
    <col min="29" max="16384" width="9.1796875" style="148"/>
  </cols>
  <sheetData>
    <row r="1" spans="1:30" ht="19.5" thickBot="1" x14ac:dyDescent="0.45">
      <c r="B1" s="5" t="s">
        <v>387</v>
      </c>
    </row>
    <row r="2" spans="1:30" ht="13" thickTop="1" x14ac:dyDescent="0.25"/>
    <row r="3" spans="1:30" x14ac:dyDescent="0.25">
      <c r="B3" s="148" t="s">
        <v>86</v>
      </c>
    </row>
    <row r="5" spans="1:30" x14ac:dyDescent="0.25">
      <c r="B5" s="203" t="s">
        <v>388</v>
      </c>
    </row>
    <row r="6" spans="1:30" x14ac:dyDescent="0.25">
      <c r="B6" s="203" t="s">
        <v>389</v>
      </c>
    </row>
    <row r="7" spans="1:30" x14ac:dyDescent="0.25">
      <c r="B7" s="203" t="s">
        <v>395</v>
      </c>
    </row>
    <row r="8" spans="1:30" x14ac:dyDescent="0.25">
      <c r="B8" s="203" t="s">
        <v>396</v>
      </c>
    </row>
    <row r="9" spans="1:30" x14ac:dyDescent="0.25">
      <c r="B9" s="203" t="s">
        <v>397</v>
      </c>
    </row>
    <row r="10" spans="1:30" s="156" customFormat="1" x14ac:dyDescent="0.25">
      <c r="B10" s="203" t="s">
        <v>439</v>
      </c>
      <c r="M10" s="159"/>
      <c r="N10" s="157"/>
      <c r="AB10" s="158"/>
    </row>
    <row r="12" spans="1:30" ht="13" x14ac:dyDescent="0.3">
      <c r="A12" s="177" t="str">
        <f>B5</f>
        <v>1) From literature review, import typical water use breakdown at a typical meat plant</v>
      </c>
      <c r="L12" s="177" t="str">
        <f>B6</f>
        <v>2) Apply industry experience to apportion this water use across the site facilities</v>
      </c>
    </row>
    <row r="13" spans="1:30" ht="13" x14ac:dyDescent="0.3">
      <c r="B13" s="294" t="s">
        <v>542</v>
      </c>
      <c r="C13" s="253"/>
      <c r="D13" s="253"/>
      <c r="E13" s="253"/>
    </row>
    <row r="15" spans="1:30" ht="50.25" customHeight="1" x14ac:dyDescent="0.25">
      <c r="O15" s="148" t="s">
        <v>41</v>
      </c>
      <c r="P15" s="204" t="str">
        <f t="array" ref="P15:AA15">TRANSPOSE(Facilities_List)</f>
        <v>Stockyards</v>
      </c>
      <c r="Q15" s="204" t="str">
        <v>Slaughter and Evisceration</v>
      </c>
      <c r="R15" s="204" t="str">
        <v>Hide Processing</v>
      </c>
      <c r="S15" s="204" t="str">
        <v>Blood Processing</v>
      </c>
      <c r="T15" s="204" t="str">
        <v>Rendering</v>
      </c>
      <c r="U15" s="204" t="str">
        <v>Paunch Processing</v>
      </c>
      <c r="V15" s="204" t="str">
        <v>Offal Washing</v>
      </c>
      <c r="W15" s="204" t="str">
        <v>Wastewater Treatment</v>
      </c>
      <c r="X15" s="204" t="str">
        <v>Chilling</v>
      </c>
      <c r="Y15" s="204" t="str">
        <v>Boning</v>
      </c>
      <c r="Z15" s="204" t="str">
        <v>Packaging</v>
      </c>
      <c r="AA15" s="204" t="str">
        <v>Freezing</v>
      </c>
      <c r="AB15" s="151"/>
      <c r="AC15" s="149"/>
      <c r="AD15" s="149"/>
    </row>
    <row r="16" spans="1:30" ht="18" customHeight="1" x14ac:dyDescent="0.25">
      <c r="L16" s="712" t="s">
        <v>65</v>
      </c>
      <c r="M16" s="715" t="s">
        <v>1</v>
      </c>
      <c r="N16" s="161" t="s">
        <v>42</v>
      </c>
      <c r="O16" s="166">
        <v>10.030090270812437</v>
      </c>
      <c r="P16" s="376">
        <v>1</v>
      </c>
      <c r="Q16" s="376">
        <v>0</v>
      </c>
      <c r="R16" s="376">
        <v>0</v>
      </c>
      <c r="S16" s="376">
        <v>0</v>
      </c>
      <c r="T16" s="376">
        <v>0</v>
      </c>
      <c r="U16" s="376">
        <v>0</v>
      </c>
      <c r="V16" s="376">
        <v>0</v>
      </c>
      <c r="W16" s="376">
        <v>0</v>
      </c>
      <c r="X16" s="376">
        <v>0</v>
      </c>
      <c r="Y16" s="376">
        <v>0</v>
      </c>
      <c r="Z16" s="376">
        <v>0</v>
      </c>
      <c r="AA16" s="376">
        <v>0</v>
      </c>
      <c r="AB16" s="162">
        <f>SUM(P16:AA16)</f>
        <v>1</v>
      </c>
    </row>
    <row r="17" spans="12:28" ht="18" customHeight="1" x14ac:dyDescent="0.25">
      <c r="L17" s="713"/>
      <c r="M17" s="716"/>
      <c r="N17" s="11" t="s">
        <v>43</v>
      </c>
      <c r="O17" s="167">
        <v>70.210631895687058</v>
      </c>
      <c r="P17" s="377">
        <v>1</v>
      </c>
      <c r="Q17" s="377">
        <v>0</v>
      </c>
      <c r="R17" s="377">
        <v>0</v>
      </c>
      <c r="S17" s="377">
        <v>0</v>
      </c>
      <c r="T17" s="377">
        <v>0</v>
      </c>
      <c r="U17" s="377">
        <v>0</v>
      </c>
      <c r="V17" s="377">
        <v>0</v>
      </c>
      <c r="W17" s="377">
        <v>0</v>
      </c>
      <c r="X17" s="377">
        <v>0</v>
      </c>
      <c r="Y17" s="377">
        <v>0</v>
      </c>
      <c r="Z17" s="377">
        <v>0</v>
      </c>
      <c r="AA17" s="377">
        <v>0</v>
      </c>
      <c r="AB17" s="163">
        <f t="shared" ref="AB17:AB41" si="0">SUM(P17:AA17)</f>
        <v>1</v>
      </c>
    </row>
    <row r="18" spans="12:28" ht="18" customHeight="1" x14ac:dyDescent="0.25">
      <c r="L18" s="713"/>
      <c r="M18" s="716"/>
      <c r="N18" s="11" t="s">
        <v>44</v>
      </c>
      <c r="O18" s="167">
        <v>130.39117352056169</v>
      </c>
      <c r="P18" s="377">
        <v>1</v>
      </c>
      <c r="Q18" s="377">
        <v>0</v>
      </c>
      <c r="R18" s="377">
        <v>0</v>
      </c>
      <c r="S18" s="377">
        <v>0</v>
      </c>
      <c r="T18" s="377">
        <v>0</v>
      </c>
      <c r="U18" s="377">
        <v>0</v>
      </c>
      <c r="V18" s="377">
        <v>0</v>
      </c>
      <c r="W18" s="377">
        <v>0</v>
      </c>
      <c r="X18" s="377">
        <v>0</v>
      </c>
      <c r="Y18" s="377">
        <v>0</v>
      </c>
      <c r="Z18" s="377">
        <v>0</v>
      </c>
      <c r="AA18" s="377">
        <v>0</v>
      </c>
      <c r="AB18" s="163">
        <f t="shared" si="0"/>
        <v>1</v>
      </c>
    </row>
    <row r="19" spans="12:28" ht="18" customHeight="1" x14ac:dyDescent="0.25">
      <c r="L19" s="713"/>
      <c r="M19" s="717"/>
      <c r="N19" s="164" t="s">
        <v>45</v>
      </c>
      <c r="O19" s="168">
        <v>40.120361083249747</v>
      </c>
      <c r="P19" s="378">
        <v>1</v>
      </c>
      <c r="Q19" s="378">
        <v>0</v>
      </c>
      <c r="R19" s="378">
        <v>0</v>
      </c>
      <c r="S19" s="378">
        <v>0</v>
      </c>
      <c r="T19" s="378">
        <v>0</v>
      </c>
      <c r="U19" s="378">
        <v>0</v>
      </c>
      <c r="V19" s="378">
        <v>0</v>
      </c>
      <c r="W19" s="378">
        <v>0</v>
      </c>
      <c r="X19" s="378">
        <v>0</v>
      </c>
      <c r="Y19" s="378">
        <v>0</v>
      </c>
      <c r="Z19" s="378">
        <v>0</v>
      </c>
      <c r="AA19" s="378">
        <v>0</v>
      </c>
      <c r="AB19" s="165">
        <f t="shared" si="0"/>
        <v>1</v>
      </c>
    </row>
    <row r="20" spans="12:28" ht="18.75" customHeight="1" x14ac:dyDescent="0.25">
      <c r="L20" s="713"/>
      <c r="M20" s="715" t="s">
        <v>15</v>
      </c>
      <c r="N20" s="161" t="s">
        <v>46</v>
      </c>
      <c r="O20" s="166">
        <v>60.180541624874621</v>
      </c>
      <c r="P20" s="376">
        <v>0</v>
      </c>
      <c r="Q20" s="376">
        <v>1</v>
      </c>
      <c r="R20" s="376">
        <v>0</v>
      </c>
      <c r="S20" s="376">
        <v>0</v>
      </c>
      <c r="T20" s="376">
        <v>0</v>
      </c>
      <c r="U20" s="376">
        <v>0</v>
      </c>
      <c r="V20" s="376">
        <v>0</v>
      </c>
      <c r="W20" s="376">
        <v>0</v>
      </c>
      <c r="X20" s="376">
        <v>0</v>
      </c>
      <c r="Y20" s="376">
        <v>0</v>
      </c>
      <c r="Z20" s="376">
        <v>0</v>
      </c>
      <c r="AA20" s="376">
        <v>0</v>
      </c>
      <c r="AB20" s="162">
        <f t="shared" si="0"/>
        <v>1</v>
      </c>
    </row>
    <row r="21" spans="12:28" ht="18.75" customHeight="1" x14ac:dyDescent="0.25">
      <c r="L21" s="713"/>
      <c r="M21" s="716"/>
      <c r="N21" s="11" t="s">
        <v>47</v>
      </c>
      <c r="O21" s="167">
        <v>3.0090270812437314</v>
      </c>
      <c r="P21" s="377">
        <v>0</v>
      </c>
      <c r="Q21" s="377">
        <v>1</v>
      </c>
      <c r="R21" s="377">
        <v>0</v>
      </c>
      <c r="S21" s="377">
        <v>0</v>
      </c>
      <c r="T21" s="377">
        <v>0</v>
      </c>
      <c r="U21" s="377">
        <v>0</v>
      </c>
      <c r="V21" s="377">
        <v>0</v>
      </c>
      <c r="W21" s="377">
        <v>0</v>
      </c>
      <c r="X21" s="377">
        <v>0</v>
      </c>
      <c r="Y21" s="377">
        <v>0</v>
      </c>
      <c r="Z21" s="377">
        <v>0</v>
      </c>
      <c r="AA21" s="377">
        <v>0</v>
      </c>
      <c r="AB21" s="163">
        <f t="shared" si="0"/>
        <v>1</v>
      </c>
    </row>
    <row r="22" spans="12:28" ht="18.75" customHeight="1" x14ac:dyDescent="0.25">
      <c r="L22" s="713"/>
      <c r="M22" s="716"/>
      <c r="N22" s="11" t="s">
        <v>48</v>
      </c>
      <c r="O22" s="167">
        <v>40.120361083249747</v>
      </c>
      <c r="P22" s="377">
        <v>0</v>
      </c>
      <c r="Q22" s="377">
        <v>1</v>
      </c>
      <c r="R22" s="377">
        <v>0</v>
      </c>
      <c r="S22" s="377">
        <v>0</v>
      </c>
      <c r="T22" s="377">
        <v>0</v>
      </c>
      <c r="U22" s="377">
        <v>0</v>
      </c>
      <c r="V22" s="377">
        <v>0</v>
      </c>
      <c r="W22" s="377">
        <v>0</v>
      </c>
      <c r="X22" s="377">
        <v>0</v>
      </c>
      <c r="Y22" s="377">
        <v>0</v>
      </c>
      <c r="Z22" s="377">
        <v>0</v>
      </c>
      <c r="AA22" s="377">
        <v>0</v>
      </c>
      <c r="AB22" s="163">
        <f t="shared" si="0"/>
        <v>1</v>
      </c>
    </row>
    <row r="23" spans="12:28" ht="18.75" customHeight="1" x14ac:dyDescent="0.25">
      <c r="L23" s="713"/>
      <c r="M23" s="717"/>
      <c r="N23" s="164" t="s">
        <v>49</v>
      </c>
      <c r="O23" s="168">
        <v>1.0030090270812437</v>
      </c>
      <c r="P23" s="378">
        <v>0</v>
      </c>
      <c r="Q23" s="378">
        <v>1</v>
      </c>
      <c r="R23" s="378">
        <v>0</v>
      </c>
      <c r="S23" s="378">
        <v>0</v>
      </c>
      <c r="T23" s="378">
        <v>0</v>
      </c>
      <c r="U23" s="378">
        <v>0</v>
      </c>
      <c r="V23" s="378">
        <v>0</v>
      </c>
      <c r="W23" s="378">
        <v>0</v>
      </c>
      <c r="X23" s="378">
        <v>0</v>
      </c>
      <c r="Y23" s="378">
        <v>0</v>
      </c>
      <c r="Z23" s="378">
        <v>0</v>
      </c>
      <c r="AA23" s="378">
        <v>0</v>
      </c>
      <c r="AB23" s="165">
        <f t="shared" si="0"/>
        <v>1</v>
      </c>
    </row>
    <row r="24" spans="12:28" ht="18.75" customHeight="1" x14ac:dyDescent="0.25">
      <c r="L24" s="713"/>
      <c r="M24" s="715" t="s">
        <v>63</v>
      </c>
      <c r="N24" s="161" t="s">
        <v>50</v>
      </c>
      <c r="O24" s="166">
        <v>80.240722166499495</v>
      </c>
      <c r="P24" s="376">
        <v>0</v>
      </c>
      <c r="Q24" s="376">
        <v>0</v>
      </c>
      <c r="R24" s="376">
        <v>0</v>
      </c>
      <c r="S24" s="376">
        <v>0</v>
      </c>
      <c r="T24" s="376">
        <v>0</v>
      </c>
      <c r="U24" s="376">
        <v>1</v>
      </c>
      <c r="V24" s="376">
        <v>0</v>
      </c>
      <c r="W24" s="376">
        <v>0</v>
      </c>
      <c r="X24" s="376">
        <v>0</v>
      </c>
      <c r="Y24" s="376">
        <v>0</v>
      </c>
      <c r="Z24" s="376">
        <v>0</v>
      </c>
      <c r="AA24" s="376">
        <v>0</v>
      </c>
      <c r="AB24" s="162">
        <f t="shared" si="0"/>
        <v>1</v>
      </c>
    </row>
    <row r="25" spans="12:28" ht="18.75" customHeight="1" x14ac:dyDescent="0.25">
      <c r="L25" s="713"/>
      <c r="M25" s="716"/>
      <c r="N25" s="11" t="s">
        <v>51</v>
      </c>
      <c r="O25" s="167">
        <v>30.090270812437311</v>
      </c>
      <c r="P25" s="379">
        <v>0</v>
      </c>
      <c r="Q25" s="379">
        <v>0</v>
      </c>
      <c r="R25" s="379">
        <v>0</v>
      </c>
      <c r="S25" s="379">
        <v>0</v>
      </c>
      <c r="T25" s="379">
        <v>0</v>
      </c>
      <c r="U25" s="377">
        <v>1</v>
      </c>
      <c r="V25" s="377">
        <v>0</v>
      </c>
      <c r="W25" s="379">
        <v>0</v>
      </c>
      <c r="X25" s="379">
        <v>0</v>
      </c>
      <c r="Y25" s="379">
        <v>0</v>
      </c>
      <c r="Z25" s="379">
        <v>0</v>
      </c>
      <c r="AA25" s="379">
        <v>0</v>
      </c>
      <c r="AB25" s="163">
        <f t="shared" si="0"/>
        <v>1</v>
      </c>
    </row>
    <row r="26" spans="12:28" ht="18.75" customHeight="1" x14ac:dyDescent="0.25">
      <c r="L26" s="713"/>
      <c r="M26" s="716"/>
      <c r="N26" s="11" t="s">
        <v>52</v>
      </c>
      <c r="O26" s="167">
        <v>60.180541624874621</v>
      </c>
      <c r="P26" s="379">
        <v>0</v>
      </c>
      <c r="Q26" s="379">
        <v>0</v>
      </c>
      <c r="R26" s="379">
        <v>0</v>
      </c>
      <c r="S26" s="379">
        <v>0</v>
      </c>
      <c r="T26" s="379">
        <v>0</v>
      </c>
      <c r="U26" s="379">
        <v>0.5</v>
      </c>
      <c r="V26" s="379">
        <v>0.5</v>
      </c>
      <c r="W26" s="379">
        <v>0</v>
      </c>
      <c r="X26" s="379">
        <v>0</v>
      </c>
      <c r="Y26" s="379">
        <v>0</v>
      </c>
      <c r="Z26" s="379">
        <v>0</v>
      </c>
      <c r="AA26" s="379">
        <v>0</v>
      </c>
      <c r="AB26" s="163">
        <f t="shared" si="0"/>
        <v>1</v>
      </c>
    </row>
    <row r="27" spans="12:28" ht="18.75" customHeight="1" x14ac:dyDescent="0.25">
      <c r="L27" s="714"/>
      <c r="M27" s="717"/>
      <c r="N27" s="164" t="s">
        <v>53</v>
      </c>
      <c r="O27" s="168">
        <v>30.090270812437311</v>
      </c>
      <c r="P27" s="378">
        <v>0</v>
      </c>
      <c r="Q27" s="378">
        <v>0</v>
      </c>
      <c r="R27" s="378">
        <v>0</v>
      </c>
      <c r="S27" s="378">
        <v>0</v>
      </c>
      <c r="T27" s="378">
        <v>0</v>
      </c>
      <c r="U27" s="378">
        <v>0</v>
      </c>
      <c r="V27" s="378">
        <v>1</v>
      </c>
      <c r="W27" s="378">
        <v>0</v>
      </c>
      <c r="X27" s="378">
        <v>0</v>
      </c>
      <c r="Y27" s="378">
        <v>0</v>
      </c>
      <c r="Z27" s="378">
        <v>0</v>
      </c>
      <c r="AA27" s="378">
        <v>0</v>
      </c>
      <c r="AB27" s="165">
        <f t="shared" si="0"/>
        <v>1</v>
      </c>
    </row>
    <row r="28" spans="12:28" ht="12.75" customHeight="1" x14ac:dyDescent="0.25">
      <c r="L28" s="712" t="s">
        <v>66</v>
      </c>
      <c r="M28" s="715" t="s">
        <v>5</v>
      </c>
      <c r="N28" s="161" t="s">
        <v>54</v>
      </c>
      <c r="O28" s="166">
        <v>10.030090270812437</v>
      </c>
      <c r="P28" s="376">
        <v>0</v>
      </c>
      <c r="Q28" s="376">
        <v>0</v>
      </c>
      <c r="R28" s="376">
        <v>0</v>
      </c>
      <c r="S28" s="376">
        <v>0</v>
      </c>
      <c r="T28" s="376">
        <v>1</v>
      </c>
      <c r="U28" s="376">
        <v>0</v>
      </c>
      <c r="V28" s="376">
        <v>0</v>
      </c>
      <c r="W28" s="376">
        <v>0</v>
      </c>
      <c r="X28" s="376">
        <v>0</v>
      </c>
      <c r="Y28" s="376">
        <v>0</v>
      </c>
      <c r="Z28" s="376">
        <v>0</v>
      </c>
      <c r="AA28" s="376">
        <v>0</v>
      </c>
      <c r="AB28" s="162">
        <f t="shared" si="0"/>
        <v>1</v>
      </c>
    </row>
    <row r="29" spans="12:28" x14ac:dyDescent="0.25">
      <c r="L29" s="713"/>
      <c r="M29" s="717"/>
      <c r="N29" s="164" t="s">
        <v>55</v>
      </c>
      <c r="O29" s="168">
        <v>5.0150451354062184</v>
      </c>
      <c r="P29" s="378">
        <v>0</v>
      </c>
      <c r="Q29" s="378">
        <v>0</v>
      </c>
      <c r="R29" s="378">
        <v>0</v>
      </c>
      <c r="S29" s="378">
        <v>0</v>
      </c>
      <c r="T29" s="378">
        <v>1</v>
      </c>
      <c r="U29" s="378">
        <v>0</v>
      </c>
      <c r="V29" s="378">
        <v>0</v>
      </c>
      <c r="W29" s="378">
        <v>0</v>
      </c>
      <c r="X29" s="378">
        <v>0</v>
      </c>
      <c r="Y29" s="378">
        <v>0</v>
      </c>
      <c r="Z29" s="378">
        <v>0</v>
      </c>
      <c r="AA29" s="378">
        <v>0</v>
      </c>
      <c r="AB29" s="165">
        <f t="shared" si="0"/>
        <v>1</v>
      </c>
    </row>
    <row r="30" spans="12:28" ht="18.75" customHeight="1" x14ac:dyDescent="0.25">
      <c r="L30" s="713"/>
      <c r="M30" s="715" t="s">
        <v>64</v>
      </c>
      <c r="N30" s="161" t="s">
        <v>56</v>
      </c>
      <c r="O30" s="166">
        <v>60.180541624874621</v>
      </c>
      <c r="P30" s="380">
        <v>0</v>
      </c>
      <c r="Q30" s="380">
        <v>0.4</v>
      </c>
      <c r="R30" s="380">
        <v>0</v>
      </c>
      <c r="S30" s="380">
        <v>0</v>
      </c>
      <c r="T30" s="380">
        <v>0</v>
      </c>
      <c r="U30" s="380">
        <v>0</v>
      </c>
      <c r="V30" s="380">
        <v>0</v>
      </c>
      <c r="W30" s="380">
        <v>0</v>
      </c>
      <c r="X30" s="380">
        <v>0</v>
      </c>
      <c r="Y30" s="380">
        <v>0.6</v>
      </c>
      <c r="Z30" s="380">
        <v>0</v>
      </c>
      <c r="AA30" s="380">
        <v>0</v>
      </c>
      <c r="AB30" s="162">
        <f t="shared" si="0"/>
        <v>1</v>
      </c>
    </row>
    <row r="31" spans="12:28" ht="18.75" customHeight="1" x14ac:dyDescent="0.3">
      <c r="L31" s="713"/>
      <c r="M31" s="716"/>
      <c r="N31" s="11" t="s">
        <v>57</v>
      </c>
      <c r="O31" s="167">
        <v>20.060180541624874</v>
      </c>
      <c r="P31" s="381">
        <v>0</v>
      </c>
      <c r="Q31" s="379">
        <v>0.1</v>
      </c>
      <c r="R31" s="379">
        <v>0.1</v>
      </c>
      <c r="S31" s="379">
        <v>0.1</v>
      </c>
      <c r="T31" s="379">
        <v>0.1</v>
      </c>
      <c r="U31" s="379">
        <v>0.1</v>
      </c>
      <c r="V31" s="379">
        <v>0.1</v>
      </c>
      <c r="W31" s="379">
        <v>0.1</v>
      </c>
      <c r="X31" s="379">
        <v>0.1</v>
      </c>
      <c r="Y31" s="379">
        <v>0.1</v>
      </c>
      <c r="Z31" s="379">
        <v>0.05</v>
      </c>
      <c r="AA31" s="379">
        <v>0.05</v>
      </c>
      <c r="AB31" s="163">
        <f t="shared" si="0"/>
        <v>1</v>
      </c>
    </row>
    <row r="32" spans="12:28" ht="18.75" customHeight="1" x14ac:dyDescent="0.25">
      <c r="L32" s="713"/>
      <c r="M32" s="717"/>
      <c r="N32" s="164" t="s">
        <v>14</v>
      </c>
      <c r="O32" s="168">
        <v>20.060180541624874</v>
      </c>
      <c r="P32" s="382">
        <f>1/COUNTA($P$15:$AA$15)</f>
        <v>8.3333333333333329E-2</v>
      </c>
      <c r="Q32" s="382">
        <f t="shared" ref="Q32:AA34" si="1">1/COUNTA($P$15:$AA$15)</f>
        <v>8.3333333333333329E-2</v>
      </c>
      <c r="R32" s="382">
        <f t="shared" si="1"/>
        <v>8.3333333333333329E-2</v>
      </c>
      <c r="S32" s="382">
        <f t="shared" si="1"/>
        <v>8.3333333333333329E-2</v>
      </c>
      <c r="T32" s="382">
        <f t="shared" si="1"/>
        <v>8.3333333333333329E-2</v>
      </c>
      <c r="U32" s="382">
        <f t="shared" si="1"/>
        <v>8.3333333333333329E-2</v>
      </c>
      <c r="V32" s="382">
        <f t="shared" si="1"/>
        <v>8.3333333333333329E-2</v>
      </c>
      <c r="W32" s="382">
        <f t="shared" si="1"/>
        <v>8.3333333333333329E-2</v>
      </c>
      <c r="X32" s="382">
        <f t="shared" si="1"/>
        <v>8.3333333333333329E-2</v>
      </c>
      <c r="Y32" s="382">
        <f t="shared" si="1"/>
        <v>8.3333333333333329E-2</v>
      </c>
      <c r="Z32" s="382">
        <f t="shared" si="1"/>
        <v>8.3333333333333329E-2</v>
      </c>
      <c r="AA32" s="382">
        <f t="shared" si="1"/>
        <v>8.3333333333333329E-2</v>
      </c>
      <c r="AB32" s="165">
        <f t="shared" si="0"/>
        <v>1</v>
      </c>
    </row>
    <row r="33" spans="12:28" ht="26.25" customHeight="1" x14ac:dyDescent="0.25">
      <c r="L33" s="713"/>
      <c r="M33" s="715" t="s">
        <v>17</v>
      </c>
      <c r="N33" s="161" t="s">
        <v>58</v>
      </c>
      <c r="O33" s="166">
        <v>40.120361083249747</v>
      </c>
      <c r="P33" s="380">
        <f>1/COUNTA($P$15:$AA$15)</f>
        <v>8.3333333333333329E-2</v>
      </c>
      <c r="Q33" s="380">
        <f t="shared" si="1"/>
        <v>8.3333333333333329E-2</v>
      </c>
      <c r="R33" s="380">
        <f t="shared" si="1"/>
        <v>8.3333333333333329E-2</v>
      </c>
      <c r="S33" s="380">
        <f t="shared" si="1"/>
        <v>8.3333333333333329E-2</v>
      </c>
      <c r="T33" s="380">
        <f t="shared" si="1"/>
        <v>8.3333333333333329E-2</v>
      </c>
      <c r="U33" s="380">
        <f t="shared" si="1"/>
        <v>8.3333333333333329E-2</v>
      </c>
      <c r="V33" s="380">
        <f t="shared" si="1"/>
        <v>8.3333333333333329E-2</v>
      </c>
      <c r="W33" s="380">
        <f t="shared" si="1"/>
        <v>8.3333333333333329E-2</v>
      </c>
      <c r="X33" s="380">
        <f t="shared" si="1"/>
        <v>8.3333333333333329E-2</v>
      </c>
      <c r="Y33" s="380">
        <f t="shared" si="1"/>
        <v>8.3333333333333329E-2</v>
      </c>
      <c r="Z33" s="380">
        <f t="shared" si="1"/>
        <v>8.3333333333333329E-2</v>
      </c>
      <c r="AA33" s="380">
        <f t="shared" si="1"/>
        <v>8.3333333333333329E-2</v>
      </c>
      <c r="AB33" s="162">
        <f t="shared" si="0"/>
        <v>1</v>
      </c>
    </row>
    <row r="34" spans="12:28" ht="26.25" customHeight="1" x14ac:dyDescent="0.25">
      <c r="L34" s="713"/>
      <c r="M34" s="717"/>
      <c r="N34" s="164" t="s">
        <v>59</v>
      </c>
      <c r="O34" s="168">
        <v>25.075225677031092</v>
      </c>
      <c r="P34" s="382">
        <f t="shared" ref="P34" si="2">1/COUNTA($P$15:$AA$15)</f>
        <v>8.3333333333333329E-2</v>
      </c>
      <c r="Q34" s="382">
        <f t="shared" si="1"/>
        <v>8.3333333333333329E-2</v>
      </c>
      <c r="R34" s="382">
        <f t="shared" si="1"/>
        <v>8.3333333333333329E-2</v>
      </c>
      <c r="S34" s="382">
        <f t="shared" si="1"/>
        <v>8.3333333333333329E-2</v>
      </c>
      <c r="T34" s="382">
        <f t="shared" si="1"/>
        <v>8.3333333333333329E-2</v>
      </c>
      <c r="U34" s="382">
        <f t="shared" si="1"/>
        <v>8.3333333333333329E-2</v>
      </c>
      <c r="V34" s="382">
        <f t="shared" si="1"/>
        <v>8.3333333333333329E-2</v>
      </c>
      <c r="W34" s="382">
        <f t="shared" si="1"/>
        <v>8.3333333333333329E-2</v>
      </c>
      <c r="X34" s="382">
        <f t="shared" si="1"/>
        <v>8.3333333333333329E-2</v>
      </c>
      <c r="Y34" s="382">
        <f t="shared" si="1"/>
        <v>8.3333333333333329E-2</v>
      </c>
      <c r="Z34" s="382">
        <f t="shared" si="1"/>
        <v>8.3333333333333329E-2</v>
      </c>
      <c r="AA34" s="382">
        <f t="shared" si="1"/>
        <v>8.3333333333333329E-2</v>
      </c>
      <c r="AB34" s="165">
        <f t="shared" si="0"/>
        <v>1</v>
      </c>
    </row>
    <row r="35" spans="12:28" ht="32.25" customHeight="1" x14ac:dyDescent="0.25">
      <c r="L35" s="713"/>
      <c r="M35" s="715" t="s">
        <v>16</v>
      </c>
      <c r="N35" s="161" t="s">
        <v>60</v>
      </c>
      <c r="O35" s="166">
        <v>20.060180541624874</v>
      </c>
      <c r="P35" s="380"/>
      <c r="Q35" s="380">
        <v>0.5</v>
      </c>
      <c r="R35" s="380">
        <v>0.1</v>
      </c>
      <c r="S35" s="380">
        <v>0.1</v>
      </c>
      <c r="T35" s="380">
        <v>0.1</v>
      </c>
      <c r="U35" s="380">
        <v>0.05</v>
      </c>
      <c r="V35" s="380">
        <v>0.05</v>
      </c>
      <c r="W35" s="380"/>
      <c r="X35" s="380"/>
      <c r="Y35" s="380">
        <v>0.05</v>
      </c>
      <c r="Z35" s="380"/>
      <c r="AA35" s="380">
        <v>0.05</v>
      </c>
      <c r="AB35" s="162">
        <f t="shared" si="0"/>
        <v>1</v>
      </c>
    </row>
    <row r="36" spans="12:28" ht="32.25" customHeight="1" x14ac:dyDescent="0.25">
      <c r="L36" s="713"/>
      <c r="M36" s="716"/>
      <c r="N36" s="11" t="s">
        <v>61</v>
      </c>
      <c r="O36" s="167">
        <v>170.49</v>
      </c>
      <c r="P36" s="379"/>
      <c r="Q36" s="379">
        <v>0.3</v>
      </c>
      <c r="R36" s="379">
        <v>0.1</v>
      </c>
      <c r="S36" s="379">
        <v>0.1</v>
      </c>
      <c r="T36" s="379">
        <v>0.15</v>
      </c>
      <c r="U36" s="379">
        <v>0.05</v>
      </c>
      <c r="V36" s="379">
        <v>0.05</v>
      </c>
      <c r="W36" s="379"/>
      <c r="X36" s="379"/>
      <c r="Y36" s="379">
        <v>0.2</v>
      </c>
      <c r="Z36" s="379"/>
      <c r="AA36" s="379">
        <v>0.05</v>
      </c>
      <c r="AB36" s="163">
        <f t="shared" si="0"/>
        <v>1.0000000000000002</v>
      </c>
    </row>
    <row r="37" spans="12:28" ht="32.25" customHeight="1" x14ac:dyDescent="0.25">
      <c r="L37" s="713"/>
      <c r="M37" s="717"/>
      <c r="N37" s="164" t="s">
        <v>62</v>
      </c>
      <c r="O37" s="168">
        <v>30.090270812437311</v>
      </c>
      <c r="P37" s="382"/>
      <c r="Q37" s="382">
        <v>0.5</v>
      </c>
      <c r="R37" s="382">
        <v>0.1</v>
      </c>
      <c r="S37" s="382">
        <v>0.1</v>
      </c>
      <c r="T37" s="382">
        <v>0.1</v>
      </c>
      <c r="U37" s="382">
        <v>0.05</v>
      </c>
      <c r="V37" s="382">
        <v>0.05</v>
      </c>
      <c r="W37" s="382"/>
      <c r="X37" s="382"/>
      <c r="Y37" s="382">
        <v>0.05</v>
      </c>
      <c r="Z37" s="382"/>
      <c r="AA37" s="382">
        <v>0.05</v>
      </c>
      <c r="AB37" s="165">
        <f t="shared" si="0"/>
        <v>1</v>
      </c>
    </row>
    <row r="38" spans="12:28" ht="18" customHeight="1" x14ac:dyDescent="0.25">
      <c r="L38" s="713"/>
      <c r="M38" s="715" t="s">
        <v>390</v>
      </c>
      <c r="N38" s="161" t="s">
        <v>391</v>
      </c>
      <c r="O38" s="166">
        <v>20.060180541624874</v>
      </c>
      <c r="P38" s="380">
        <v>0</v>
      </c>
      <c r="Q38" s="380">
        <v>0</v>
      </c>
      <c r="R38" s="380">
        <v>0</v>
      </c>
      <c r="S38" s="380">
        <v>0</v>
      </c>
      <c r="T38" s="380">
        <v>0</v>
      </c>
      <c r="U38" s="380">
        <v>0</v>
      </c>
      <c r="V38" s="380">
        <v>0</v>
      </c>
      <c r="W38" s="380">
        <v>0</v>
      </c>
      <c r="X38" s="380">
        <v>0.35</v>
      </c>
      <c r="Y38" s="380">
        <v>0</v>
      </c>
      <c r="Z38" s="380">
        <v>0</v>
      </c>
      <c r="AA38" s="380">
        <v>0.65</v>
      </c>
      <c r="AB38" s="162">
        <f t="shared" si="0"/>
        <v>1</v>
      </c>
    </row>
    <row r="39" spans="12:28" ht="18" customHeight="1" x14ac:dyDescent="0.25">
      <c r="L39" s="713"/>
      <c r="M39" s="716"/>
      <c r="N39" s="11" t="s">
        <v>392</v>
      </c>
      <c r="O39" s="167">
        <v>10.030090270812437</v>
      </c>
      <c r="P39" s="379">
        <v>0</v>
      </c>
      <c r="Q39" s="379">
        <v>0</v>
      </c>
      <c r="R39" s="379">
        <v>0</v>
      </c>
      <c r="S39" s="379">
        <v>0</v>
      </c>
      <c r="T39" s="379">
        <v>0</v>
      </c>
      <c r="U39" s="379">
        <v>0</v>
      </c>
      <c r="V39" s="379">
        <v>0</v>
      </c>
      <c r="W39" s="379">
        <v>0</v>
      </c>
      <c r="X39" s="379">
        <v>0.35</v>
      </c>
      <c r="Y39" s="379">
        <v>0</v>
      </c>
      <c r="Z39" s="379">
        <v>0</v>
      </c>
      <c r="AA39" s="379">
        <v>0.65</v>
      </c>
      <c r="AB39" s="163">
        <f t="shared" si="0"/>
        <v>1</v>
      </c>
    </row>
    <row r="40" spans="12:28" ht="18" customHeight="1" x14ac:dyDescent="0.25">
      <c r="L40" s="713"/>
      <c r="M40" s="716"/>
      <c r="N40" s="11" t="s">
        <v>393</v>
      </c>
      <c r="O40" s="167">
        <v>10.030090270812437</v>
      </c>
      <c r="P40" s="379">
        <v>0</v>
      </c>
      <c r="Q40" s="379">
        <v>0.2</v>
      </c>
      <c r="R40" s="379">
        <v>0</v>
      </c>
      <c r="S40" s="379">
        <v>0</v>
      </c>
      <c r="T40" s="379">
        <v>0.65</v>
      </c>
      <c r="U40" s="379">
        <v>0.05</v>
      </c>
      <c r="V40" s="379">
        <v>0.05</v>
      </c>
      <c r="W40" s="379">
        <v>0</v>
      </c>
      <c r="X40" s="379">
        <v>0</v>
      </c>
      <c r="Y40" s="379">
        <v>0.05</v>
      </c>
      <c r="Z40" s="379">
        <v>0</v>
      </c>
      <c r="AA40" s="379">
        <v>0</v>
      </c>
      <c r="AB40" s="163">
        <f t="shared" si="0"/>
        <v>1.0000000000000002</v>
      </c>
    </row>
    <row r="41" spans="12:28" ht="18" customHeight="1" x14ac:dyDescent="0.25">
      <c r="L41" s="714"/>
      <c r="M41" s="717"/>
      <c r="N41" s="164" t="s">
        <v>394</v>
      </c>
      <c r="O41" s="168">
        <v>3.0090270812437314</v>
      </c>
      <c r="P41" s="382">
        <v>0.01</v>
      </c>
      <c r="Q41" s="382">
        <v>0.01</v>
      </c>
      <c r="R41" s="382">
        <v>0.01</v>
      </c>
      <c r="S41" s="382">
        <v>0.01</v>
      </c>
      <c r="T41" s="382">
        <v>0.01</v>
      </c>
      <c r="U41" s="382">
        <v>0.01</v>
      </c>
      <c r="V41" s="382">
        <v>0.01</v>
      </c>
      <c r="W41" s="382">
        <v>0.01</v>
      </c>
      <c r="X41" s="382">
        <v>0.3</v>
      </c>
      <c r="Y41" s="382">
        <v>0.01</v>
      </c>
      <c r="Z41" s="382">
        <v>0.01</v>
      </c>
      <c r="AA41" s="382">
        <v>0.6</v>
      </c>
      <c r="AB41" s="165">
        <f t="shared" si="0"/>
        <v>1</v>
      </c>
    </row>
    <row r="43" spans="12:28" ht="13" x14ac:dyDescent="0.3">
      <c r="N43" s="149" t="s">
        <v>31</v>
      </c>
      <c r="O43" s="243">
        <f>SUM(O16:O41)</f>
        <v>999.97846539618877</v>
      </c>
      <c r="P43" s="244">
        <f t="shared" ref="P43:AA43" si="3">SUMPRODUCT(P16:P41,$O$16:$O$41)/SUM($O$16:$O$41)</f>
        <v>0.25789254793012767</v>
      </c>
      <c r="Q43" s="244">
        <f t="shared" si="3"/>
        <v>0.21575880107802656</v>
      </c>
      <c r="R43" s="244">
        <f t="shared" si="3"/>
        <v>3.1205472733032005E-2</v>
      </c>
      <c r="S43" s="244">
        <f t="shared" si="3"/>
        <v>3.1205472733032005E-2</v>
      </c>
      <c r="T43" s="244">
        <f t="shared" si="3"/>
        <v>6.1295314788106146E-2</v>
      </c>
      <c r="U43" s="244">
        <f t="shared" si="3"/>
        <v>0.16109901567622859</v>
      </c>
      <c r="V43" s="244">
        <f t="shared" si="3"/>
        <v>8.0856565520356111E-2</v>
      </c>
      <c r="W43" s="244">
        <f t="shared" si="3"/>
        <v>9.1409524469231347E-3</v>
      </c>
      <c r="X43" s="244">
        <f t="shared" si="3"/>
        <v>2.0545410675326507E-2</v>
      </c>
      <c r="Y43" s="244">
        <f t="shared" si="3"/>
        <v>8.2357881200644648E-2</v>
      </c>
      <c r="Z43" s="244">
        <f t="shared" si="3"/>
        <v>8.1379218199747281E-3</v>
      </c>
      <c r="AA43" s="244">
        <f t="shared" si="3"/>
        <v>4.0504643398221747E-2</v>
      </c>
      <c r="AB43" s="160">
        <f>SUM(P43:AA43)</f>
        <v>1</v>
      </c>
    </row>
    <row r="51" spans="11:30" x14ac:dyDescent="0.25">
      <c r="N51" s="148"/>
      <c r="AB51" s="148"/>
    </row>
    <row r="56" spans="11:30" ht="13" x14ac:dyDescent="0.3">
      <c r="K56" s="177" t="str">
        <f>B7</f>
        <v>3) From literature review, import figures for best-practice water use at a full-facility plant</v>
      </c>
      <c r="M56" s="148"/>
      <c r="N56" s="148"/>
      <c r="X56" s="151"/>
      <c r="Y56" s="149"/>
    </row>
    <row r="57" spans="11:30" x14ac:dyDescent="0.25">
      <c r="M57" s="253"/>
      <c r="N57" s="253"/>
      <c r="O57" s="253"/>
      <c r="P57" s="253"/>
      <c r="X57" s="151"/>
      <c r="Y57" s="149"/>
    </row>
    <row r="58" spans="11:30" x14ac:dyDescent="0.25">
      <c r="M58" s="148"/>
      <c r="N58" s="148"/>
      <c r="X58" s="151"/>
      <c r="Y58" s="149"/>
    </row>
    <row r="59" spans="11:30" x14ac:dyDescent="0.25">
      <c r="M59" s="148"/>
      <c r="N59" s="148"/>
      <c r="X59" s="151"/>
      <c r="Y59" s="149"/>
    </row>
    <row r="60" spans="11:30" ht="50" x14ac:dyDescent="0.25">
      <c r="M60" s="309" t="s">
        <v>568</v>
      </c>
      <c r="N60" s="146" t="s">
        <v>398</v>
      </c>
      <c r="O60" s="292" t="s">
        <v>567</v>
      </c>
      <c r="P60" s="201" t="str">
        <f t="array" ref="P60:AA60">TRANSPOSE(Facilities_List)</f>
        <v>Stockyards</v>
      </c>
      <c r="Q60" s="201" t="str">
        <v>Slaughter and Evisceration</v>
      </c>
      <c r="R60" s="201" t="str">
        <v>Hide Processing</v>
      </c>
      <c r="S60" s="201" t="str">
        <v>Blood Processing</v>
      </c>
      <c r="T60" s="201" t="str">
        <v>Rendering</v>
      </c>
      <c r="U60" s="201" t="str">
        <v>Paunch Processing</v>
      </c>
      <c r="V60" s="201" t="str">
        <v>Offal Washing</v>
      </c>
      <c r="W60" s="201" t="str">
        <v>Wastewater Treatment</v>
      </c>
      <c r="X60" s="201" t="str">
        <v>Chilling</v>
      </c>
      <c r="Y60" s="201" t="str">
        <v>Boning</v>
      </c>
      <c r="Z60" s="201" t="str">
        <v>Packaging</v>
      </c>
      <c r="AA60" s="201" t="str">
        <v>Freezing</v>
      </c>
      <c r="AB60" s="145" t="s">
        <v>400</v>
      </c>
      <c r="AC60" s="146" t="s">
        <v>356</v>
      </c>
    </row>
    <row r="61" spans="11:30" x14ac:dyDescent="0.25">
      <c r="M61" s="310">
        <v>1</v>
      </c>
      <c r="N61" s="146" t="s">
        <v>866</v>
      </c>
      <c r="O61" s="291" t="s">
        <v>375</v>
      </c>
      <c r="P61" s="146" t="s">
        <v>77</v>
      </c>
      <c r="Q61" s="146" t="s">
        <v>77</v>
      </c>
      <c r="R61" s="146" t="s">
        <v>77</v>
      </c>
      <c r="S61" s="146" t="s">
        <v>77</v>
      </c>
      <c r="T61" s="146" t="s">
        <v>77</v>
      </c>
      <c r="U61" s="146" t="s">
        <v>77</v>
      </c>
      <c r="V61" s="146" t="s">
        <v>77</v>
      </c>
      <c r="W61" s="146" t="s">
        <v>77</v>
      </c>
      <c r="X61" s="146" t="s">
        <v>77</v>
      </c>
      <c r="Y61" s="146" t="s">
        <v>77</v>
      </c>
      <c r="Z61" s="146" t="s">
        <v>77</v>
      </c>
      <c r="AA61" s="146" t="s">
        <v>77</v>
      </c>
      <c r="AB61" s="104">
        <f>AC61</f>
        <v>7.8</v>
      </c>
      <c r="AC61" s="146">
        <v>7.8</v>
      </c>
      <c r="AD61" s="148" t="s">
        <v>91</v>
      </c>
    </row>
    <row r="62" spans="11:30" x14ac:dyDescent="0.25">
      <c r="M62" s="148"/>
      <c r="N62" s="148"/>
      <c r="X62" s="151"/>
      <c r="Y62" s="149"/>
    </row>
    <row r="63" spans="11:30" x14ac:dyDescent="0.25">
      <c r="M63" s="148"/>
      <c r="N63" s="148"/>
      <c r="X63" s="151"/>
      <c r="Y63" s="149"/>
    </row>
    <row r="64" spans="11:30" ht="13" x14ac:dyDescent="0.3">
      <c r="K64" s="177" t="str">
        <f>B8</f>
        <v>4) Import performance figures from real-world sites to cross-check best-practice figures for validation</v>
      </c>
      <c r="M64" s="148"/>
      <c r="N64" s="148"/>
      <c r="X64" s="151"/>
      <c r="Y64" s="149"/>
    </row>
    <row r="65" spans="11:29" x14ac:dyDescent="0.25">
      <c r="M65" s="148"/>
      <c r="N65" s="148"/>
      <c r="X65" s="151"/>
      <c r="Y65" s="149"/>
    </row>
    <row r="66" spans="11:29" ht="50" x14ac:dyDescent="0.25">
      <c r="M66" s="309" t="s">
        <v>568</v>
      </c>
      <c r="N66" s="146" t="s">
        <v>398</v>
      </c>
      <c r="O66" s="145" t="s">
        <v>399</v>
      </c>
      <c r="P66" s="201" t="str">
        <f t="array" ref="P66:AA66">TRANSPOSE(Facilities_List)</f>
        <v>Stockyards</v>
      </c>
      <c r="Q66" s="201" t="str">
        <v>Slaughter and Evisceration</v>
      </c>
      <c r="R66" s="201" t="str">
        <v>Hide Processing</v>
      </c>
      <c r="S66" s="201" t="str">
        <v>Blood Processing</v>
      </c>
      <c r="T66" s="201" t="str">
        <v>Rendering</v>
      </c>
      <c r="U66" s="201" t="str">
        <v>Paunch Processing</v>
      </c>
      <c r="V66" s="201" t="str">
        <v>Offal Washing</v>
      </c>
      <c r="W66" s="201" t="str">
        <v>Wastewater Treatment</v>
      </c>
      <c r="X66" s="201" t="str">
        <v>Chilling</v>
      </c>
      <c r="Y66" s="201" t="str">
        <v>Boning</v>
      </c>
      <c r="Z66" s="201" t="str">
        <v>Packaging</v>
      </c>
      <c r="AA66" s="201" t="str">
        <v>Freezing</v>
      </c>
      <c r="AB66" s="145" t="s">
        <v>400</v>
      </c>
      <c r="AC66" s="146" t="s">
        <v>356</v>
      </c>
    </row>
    <row r="67" spans="11:29" ht="33" customHeight="1" x14ac:dyDescent="0.25">
      <c r="M67" s="310">
        <v>1</v>
      </c>
      <c r="N67" s="105" t="s">
        <v>867</v>
      </c>
      <c r="O67" s="136" t="s">
        <v>375</v>
      </c>
      <c r="P67" s="142" t="s">
        <v>77</v>
      </c>
      <c r="Q67" s="142" t="s">
        <v>77</v>
      </c>
      <c r="R67" s="142"/>
      <c r="S67" s="142"/>
      <c r="T67" s="142"/>
      <c r="U67" s="142"/>
      <c r="V67" s="142"/>
      <c r="W67" s="142" t="s">
        <v>77</v>
      </c>
      <c r="X67" s="142" t="s">
        <v>77</v>
      </c>
      <c r="Y67" s="142" t="s">
        <v>77</v>
      </c>
      <c r="Z67" s="142"/>
      <c r="AA67" s="142" t="s">
        <v>77</v>
      </c>
      <c r="AB67" s="169">
        <f>AB$61/SUMPRODUCT(((P$61:AA$61)="Yes")*P$43:AA$43)*SUMPRODUCT(((P67:AA67)="Yes")*P$43:AA$43)*(M67/$M$61)*(INDEX('Benchmark-Adjustments'!$H$35:$H$36,MATCH(O67,'Benchmark-Adjustments'!$E$35:$E$36,0))/INDEX('Benchmark-Adjustments'!$H$35:$H$36,MATCH($O$61,'Benchmark-Adjustments'!$E$35:$E$36,0)))</f>
        <v>4.884361846488309</v>
      </c>
      <c r="AC67" s="104">
        <v>7.3</v>
      </c>
    </row>
    <row r="68" spans="11:29" ht="33" customHeight="1" x14ac:dyDescent="0.25">
      <c r="M68" s="310">
        <v>1</v>
      </c>
      <c r="N68" s="105" t="s">
        <v>869</v>
      </c>
      <c r="O68" s="136" t="s">
        <v>375</v>
      </c>
      <c r="P68" s="142" t="s">
        <v>77</v>
      </c>
      <c r="Q68" s="142" t="s">
        <v>77</v>
      </c>
      <c r="R68" s="142"/>
      <c r="S68" s="142" t="s">
        <v>77</v>
      </c>
      <c r="T68" s="142" t="s">
        <v>77</v>
      </c>
      <c r="U68" s="142" t="s">
        <v>77</v>
      </c>
      <c r="V68" s="142" t="s">
        <v>77</v>
      </c>
      <c r="W68" s="142" t="s">
        <v>77</v>
      </c>
      <c r="X68" s="142" t="s">
        <v>77</v>
      </c>
      <c r="Y68" s="142" t="s">
        <v>77</v>
      </c>
      <c r="Z68" s="142" t="s">
        <v>77</v>
      </c>
      <c r="AA68" s="142" t="s">
        <v>77</v>
      </c>
      <c r="AB68" s="169">
        <f>AB$61/SUMPRODUCT(((P$61:AA$61)="Yes")*P$43:AA$43)*SUMPRODUCT(((P68:AA68)="Yes")*P$43:AA$43)*(M68/$M$61)*(INDEX('Benchmark-Adjustments'!$H$35:$H$36,MATCH(O68,'Benchmark-Adjustments'!$E$35:$E$36,0))/INDEX('Benchmark-Adjustments'!$H$35:$H$36,MATCH($O$61,'Benchmark-Adjustments'!$E$35:$E$36,0)))</f>
        <v>7.5565973126823502</v>
      </c>
      <c r="AC68" s="104">
        <v>8.85</v>
      </c>
    </row>
    <row r="69" spans="11:29" ht="33" customHeight="1" x14ac:dyDescent="0.25">
      <c r="M69" s="310">
        <v>1</v>
      </c>
      <c r="N69" s="105" t="s">
        <v>863</v>
      </c>
      <c r="O69" s="136" t="s">
        <v>375</v>
      </c>
      <c r="P69" s="142" t="s">
        <v>77</v>
      </c>
      <c r="Q69" s="142" t="s">
        <v>77</v>
      </c>
      <c r="R69" s="142" t="s">
        <v>77</v>
      </c>
      <c r="S69" s="142" t="s">
        <v>77</v>
      </c>
      <c r="T69" s="142" t="s">
        <v>77</v>
      </c>
      <c r="U69" s="142" t="s">
        <v>77</v>
      </c>
      <c r="V69" s="142" t="s">
        <v>77</v>
      </c>
      <c r="W69" s="142" t="s">
        <v>77</v>
      </c>
      <c r="X69" s="142" t="s">
        <v>77</v>
      </c>
      <c r="Y69" s="142" t="s">
        <v>77</v>
      </c>
      <c r="Z69" s="142" t="s">
        <v>77</v>
      </c>
      <c r="AA69" s="142" t="s">
        <v>77</v>
      </c>
      <c r="AB69" s="169">
        <f>AB$61/SUMPRODUCT(((P$61:AA$61)="Yes")*P$43:AA$43)*SUMPRODUCT(((P69:AA69)="Yes")*P$43:AA$43)*(M69/$M$61)*(INDEX('Benchmark-Adjustments'!$H$35:$H$36,MATCH(O69,'Benchmark-Adjustments'!$E$35:$E$36,0))/INDEX('Benchmark-Adjustments'!$H$35:$H$36,MATCH($O$61,'Benchmark-Adjustments'!$E$35:$E$36,0)))</f>
        <v>7.8</v>
      </c>
      <c r="AC69" s="104">
        <v>6.8</v>
      </c>
    </row>
    <row r="70" spans="11:29" ht="33" customHeight="1" x14ac:dyDescent="0.25">
      <c r="M70" s="310">
        <v>1</v>
      </c>
      <c r="N70" s="105" t="s">
        <v>864</v>
      </c>
      <c r="O70" s="136" t="s">
        <v>375</v>
      </c>
      <c r="P70" s="142" t="s">
        <v>77</v>
      </c>
      <c r="Q70" s="142" t="s">
        <v>77</v>
      </c>
      <c r="R70" s="142" t="s">
        <v>77</v>
      </c>
      <c r="S70" s="142" t="s">
        <v>77</v>
      </c>
      <c r="T70" s="142" t="s">
        <v>77</v>
      </c>
      <c r="U70" s="142" t="s">
        <v>77</v>
      </c>
      <c r="V70" s="142" t="s">
        <v>77</v>
      </c>
      <c r="W70" s="142" t="s">
        <v>77</v>
      </c>
      <c r="X70" s="142" t="s">
        <v>77</v>
      </c>
      <c r="Y70" s="142" t="s">
        <v>77</v>
      </c>
      <c r="Z70" s="142" t="s">
        <v>77</v>
      </c>
      <c r="AA70" s="142" t="s">
        <v>77</v>
      </c>
      <c r="AB70" s="169">
        <f>AB$61/SUMPRODUCT(((P$61:AA$61)="Yes")*P$43:AA$43)*SUMPRODUCT(((P70:AA70)="Yes")*P$43:AA$43)*(M70/$M$61)*(INDEX('Benchmark-Adjustments'!$H$35:$H$36,MATCH(O70,'Benchmark-Adjustments'!$E$35:$E$36,0))/INDEX('Benchmark-Adjustments'!$H$35:$H$36,MATCH($O$61,'Benchmark-Adjustments'!$E$35:$E$36,0)))</f>
        <v>7.8</v>
      </c>
      <c r="AC70" s="104">
        <v>11.3</v>
      </c>
    </row>
    <row r="71" spans="11:29" ht="33" customHeight="1" x14ac:dyDescent="0.25">
      <c r="M71" s="310">
        <v>1</v>
      </c>
      <c r="N71" s="105" t="s">
        <v>870</v>
      </c>
      <c r="O71" s="136" t="s">
        <v>375</v>
      </c>
      <c r="P71" s="142" t="s">
        <v>77</v>
      </c>
      <c r="Q71" s="142" t="s">
        <v>77</v>
      </c>
      <c r="R71" s="142" t="s">
        <v>77</v>
      </c>
      <c r="S71" s="142" t="s">
        <v>77</v>
      </c>
      <c r="T71" s="142" t="s">
        <v>77</v>
      </c>
      <c r="U71" s="142" t="s">
        <v>77</v>
      </c>
      <c r="V71" s="142" t="s">
        <v>77</v>
      </c>
      <c r="W71" s="142" t="s">
        <v>77</v>
      </c>
      <c r="X71" s="142" t="s">
        <v>77</v>
      </c>
      <c r="Y71" s="142" t="s">
        <v>77</v>
      </c>
      <c r="Z71" s="142" t="s">
        <v>77</v>
      </c>
      <c r="AA71" s="142" t="s">
        <v>77</v>
      </c>
      <c r="AB71" s="169">
        <f>AB$61/SUMPRODUCT(((P$61:AA$61)="Yes")*P$43:AA$43)*SUMPRODUCT(((P71:AA71)="Yes")*P$43:AA$43)*(M71/$M$61)*(INDEX('Benchmark-Adjustments'!$H$35:$H$36,MATCH(O71,'Benchmark-Adjustments'!$E$35:$E$36,0))/INDEX('Benchmark-Adjustments'!$H$35:$H$36,MATCH($O$61,'Benchmark-Adjustments'!$E$35:$E$36,0)))</f>
        <v>7.8</v>
      </c>
      <c r="AC71" s="104">
        <v>8.1</v>
      </c>
    </row>
    <row r="72" spans="11:29" ht="33" customHeight="1" x14ac:dyDescent="0.25">
      <c r="M72" s="310">
        <v>1</v>
      </c>
      <c r="N72" s="105" t="s">
        <v>871</v>
      </c>
      <c r="O72" s="136" t="s">
        <v>374</v>
      </c>
      <c r="P72" s="142" t="s">
        <v>77</v>
      </c>
      <c r="Q72" s="142" t="s">
        <v>77</v>
      </c>
      <c r="R72" s="142"/>
      <c r="S72" s="142"/>
      <c r="T72" s="142"/>
      <c r="U72" s="142"/>
      <c r="V72" s="142"/>
      <c r="W72" s="142" t="s">
        <v>77</v>
      </c>
      <c r="X72" s="142" t="s">
        <v>77</v>
      </c>
      <c r="Y72" s="142"/>
      <c r="Z72" s="142"/>
      <c r="AA72" s="142"/>
      <c r="AB72" s="169">
        <f>AB$61/SUMPRODUCT(((P$61:AA$61)="Yes")*P$43:AA$43)*SUMPRODUCT(((P72:AA72)="Yes")*P$43:AA$43)*(M72/$M$61)*(INDEX('Benchmark-Adjustments'!$H$35:$H$36,MATCH(O72,'Benchmark-Adjustments'!$E$35:$E$36,0))/INDEX('Benchmark-Adjustments'!$H$35:$H$36,MATCH($O$61,'Benchmark-Adjustments'!$E$35:$E$36,0)))</f>
        <v>1.9630170773085751</v>
      </c>
      <c r="AC72" s="104">
        <v>0.18</v>
      </c>
    </row>
    <row r="73" spans="11:29" ht="33" customHeight="1" x14ac:dyDescent="0.25">
      <c r="M73" s="310">
        <v>1</v>
      </c>
      <c r="N73" s="105"/>
      <c r="O73" s="136"/>
      <c r="P73" s="142" t="s">
        <v>77</v>
      </c>
      <c r="Q73" s="142" t="s">
        <v>77</v>
      </c>
      <c r="R73" s="142"/>
      <c r="S73" s="142"/>
      <c r="T73" s="142"/>
      <c r="U73" s="142"/>
      <c r="V73" s="142"/>
      <c r="W73" s="142" t="s">
        <v>77</v>
      </c>
      <c r="X73" s="142" t="s">
        <v>77</v>
      </c>
      <c r="Y73" s="142"/>
      <c r="Z73" s="142"/>
      <c r="AA73" s="142"/>
      <c r="AB73" s="169" t="e">
        <f>AB$61/SUMPRODUCT(((P$61:AA$61)="Yes")*P$43:AA$43)*SUMPRODUCT(((P73:AA73)="Yes")*P$43:AA$43)*(M73/$M$61)*(INDEX('Benchmark-Adjustments'!$H$35:$H$36,MATCH(O73,'Benchmark-Adjustments'!$E$35:$E$36,0))/INDEX('Benchmark-Adjustments'!$H$35:$H$36,MATCH($O$61,'Benchmark-Adjustments'!$E$35:$E$36,0)))</f>
        <v>#N/A</v>
      </c>
      <c r="AC73" s="104"/>
    </row>
    <row r="74" spans="11:29" ht="33" customHeight="1" x14ac:dyDescent="0.25">
      <c r="M74" s="310">
        <v>1</v>
      </c>
      <c r="N74" s="105"/>
      <c r="O74" s="136"/>
      <c r="P74" s="142" t="s">
        <v>77</v>
      </c>
      <c r="Q74" s="142" t="s">
        <v>77</v>
      </c>
      <c r="R74" s="142"/>
      <c r="S74" s="142"/>
      <c r="T74" s="142"/>
      <c r="U74" s="142"/>
      <c r="V74" s="142"/>
      <c r="W74" s="142" t="s">
        <v>77</v>
      </c>
      <c r="X74" s="142" t="s">
        <v>77</v>
      </c>
      <c r="Y74" s="142"/>
      <c r="Z74" s="142"/>
      <c r="AA74" s="142"/>
      <c r="AB74" s="169" t="e">
        <f>AB$61/SUMPRODUCT(((P$61:AA$61)="Yes")*P$43:AA$43)*SUMPRODUCT(((P74:AA74)="Yes")*P$43:AA$43)*(M74/$M$61)*(INDEX('Benchmark-Adjustments'!$H$35:$H$36,MATCH(O74,'Benchmark-Adjustments'!$E$35:$E$36,0))/INDEX('Benchmark-Adjustments'!$H$35:$H$36,MATCH($O$61,'Benchmark-Adjustments'!$E$35:$E$36,0)))</f>
        <v>#N/A</v>
      </c>
      <c r="AC74" s="104"/>
    </row>
    <row r="75" spans="11:29" ht="33" customHeight="1" x14ac:dyDescent="0.25">
      <c r="M75" s="310">
        <v>1</v>
      </c>
      <c r="N75" s="105"/>
      <c r="O75" s="136"/>
      <c r="P75" s="142" t="s">
        <v>77</v>
      </c>
      <c r="Q75" s="142" t="s">
        <v>77</v>
      </c>
      <c r="R75" s="142"/>
      <c r="S75" s="142"/>
      <c r="T75" s="142"/>
      <c r="U75" s="142"/>
      <c r="V75" s="142"/>
      <c r="W75" s="142" t="s">
        <v>77</v>
      </c>
      <c r="X75" s="142" t="s">
        <v>77</v>
      </c>
      <c r="Y75" s="142"/>
      <c r="Z75" s="142"/>
      <c r="AA75" s="142"/>
      <c r="AB75" s="169" t="e">
        <f>AB$61/SUMPRODUCT(((P$61:AA$61)="Yes")*P$43:AA$43)*SUMPRODUCT(((P75:AA75)="Yes")*P$43:AA$43)*(M75/$M$61)*(INDEX('Benchmark-Adjustments'!$H$35:$H$36,MATCH(O75,'Benchmark-Adjustments'!$E$35:$E$36,0))/INDEX('Benchmark-Adjustments'!$H$35:$H$36,MATCH($O$61,'Benchmark-Adjustments'!$E$35:$E$36,0)))</f>
        <v>#N/A</v>
      </c>
      <c r="AC75" s="104"/>
    </row>
    <row r="76" spans="11:29" ht="33" customHeight="1" x14ac:dyDescent="0.25">
      <c r="M76" s="310">
        <v>1</v>
      </c>
      <c r="N76" s="105"/>
      <c r="O76" s="136"/>
      <c r="P76" s="142" t="s">
        <v>77</v>
      </c>
      <c r="Q76" s="142" t="s">
        <v>77</v>
      </c>
      <c r="R76" s="142"/>
      <c r="S76" s="142"/>
      <c r="T76" s="142"/>
      <c r="U76" s="142"/>
      <c r="V76" s="142"/>
      <c r="W76" s="142" t="s">
        <v>77</v>
      </c>
      <c r="X76" s="142" t="s">
        <v>77</v>
      </c>
      <c r="Y76" s="142"/>
      <c r="Z76" s="142"/>
      <c r="AA76" s="142"/>
      <c r="AB76" s="169" t="e">
        <f>AB$61/SUMPRODUCT(((P$61:AA$61)="Yes")*P$43:AA$43)*SUMPRODUCT(((P76:AA76)="Yes")*P$43:AA$43)*(M76/$M$61)*(INDEX('Benchmark-Adjustments'!$H$35:$H$36,MATCH(O76,'Benchmark-Adjustments'!$E$35:$E$36,0))/INDEX('Benchmark-Adjustments'!$H$35:$H$36,MATCH($O$61,'Benchmark-Adjustments'!$E$35:$E$36,0)))</f>
        <v>#N/A</v>
      </c>
      <c r="AC76" s="104"/>
    </row>
    <row r="78" spans="11:29" ht="13" x14ac:dyDescent="0.3">
      <c r="K78" s="177" t="str">
        <f>B9</f>
        <v>5) From literature review, import spread of site performance to establish dial gauge range</v>
      </c>
    </row>
    <row r="80" spans="11:29" ht="13" x14ac:dyDescent="0.3">
      <c r="M80" s="294" t="s">
        <v>542</v>
      </c>
      <c r="N80" s="253"/>
      <c r="O80" s="253"/>
      <c r="P80" s="253"/>
      <c r="Q80" s="253"/>
      <c r="R80" s="253"/>
      <c r="S80" s="253"/>
    </row>
    <row r="89" spans="13:16" ht="13" x14ac:dyDescent="0.25">
      <c r="M89" s="296" t="s">
        <v>545</v>
      </c>
      <c r="N89" s="254"/>
      <c r="O89" s="253"/>
      <c r="P89" s="253"/>
    </row>
    <row r="98" spans="13:21" x14ac:dyDescent="0.25">
      <c r="M98" s="148"/>
      <c r="N98" s="148"/>
    </row>
    <row r="101" spans="13:21" ht="25" x14ac:dyDescent="0.25">
      <c r="N101" s="148"/>
      <c r="O101" s="147" t="s">
        <v>340</v>
      </c>
      <c r="P101" s="147" t="s">
        <v>341</v>
      </c>
      <c r="Q101" s="170" t="s">
        <v>345</v>
      </c>
      <c r="R101" s="145" t="s">
        <v>402</v>
      </c>
      <c r="S101" s="147" t="s">
        <v>338</v>
      </c>
    </row>
    <row r="102" spans="13:21" x14ac:dyDescent="0.25">
      <c r="N102" s="291" t="s">
        <v>546</v>
      </c>
      <c r="O102" s="106">
        <v>6</v>
      </c>
      <c r="P102" s="106">
        <v>15</v>
      </c>
      <c r="Q102" s="146">
        <v>11.8</v>
      </c>
      <c r="R102" s="172">
        <f>P102/O102</f>
        <v>2.5</v>
      </c>
      <c r="S102" s="146" t="s">
        <v>346</v>
      </c>
    </row>
    <row r="103" spans="13:21" x14ac:dyDescent="0.25">
      <c r="N103" s="292" t="s">
        <v>547</v>
      </c>
      <c r="O103" s="146">
        <v>4.7</v>
      </c>
      <c r="P103" s="146">
        <v>15.9</v>
      </c>
      <c r="Q103" s="146">
        <v>8.3000000000000007</v>
      </c>
      <c r="R103" s="172">
        <f>P103/O103</f>
        <v>3.3829787234042552</v>
      </c>
      <c r="S103" s="291"/>
    </row>
    <row r="104" spans="13:21" x14ac:dyDescent="0.25">
      <c r="N104" s="292" t="s">
        <v>547</v>
      </c>
      <c r="O104" s="146">
        <v>1.2</v>
      </c>
      <c r="P104" s="146">
        <v>4.8</v>
      </c>
      <c r="Q104" s="146">
        <v>2.8</v>
      </c>
      <c r="R104" s="172">
        <f>P104/O104</f>
        <v>4</v>
      </c>
      <c r="S104" s="291"/>
    </row>
    <row r="105" spans="13:21" x14ac:dyDescent="0.25">
      <c r="N105" s="149" t="s">
        <v>401</v>
      </c>
      <c r="Q105" s="152">
        <f>AVERAGE(Q102:Q104)</f>
        <v>7.6333333333333337</v>
      </c>
      <c r="R105" s="152">
        <f>AVERAGE(R102:R104)</f>
        <v>3.2943262411347516</v>
      </c>
      <c r="S105" s="253"/>
    </row>
    <row r="107" spans="13:21" ht="22.5" x14ac:dyDescent="0.45">
      <c r="T107" s="188" t="s">
        <v>413</v>
      </c>
      <c r="U107" s="190">
        <f>R105</f>
        <v>3.2943262411347516</v>
      </c>
    </row>
    <row r="110" spans="13:21" ht="25" x14ac:dyDescent="0.25">
      <c r="M110" s="145" t="s">
        <v>403</v>
      </c>
      <c r="N110" s="145" t="s">
        <v>406</v>
      </c>
      <c r="O110" s="718" t="s">
        <v>407</v>
      </c>
      <c r="P110" s="719"/>
    </row>
    <row r="111" spans="13:21" ht="25" x14ac:dyDescent="0.25">
      <c r="M111" s="105" t="s">
        <v>83</v>
      </c>
      <c r="N111" s="145" t="s">
        <v>404</v>
      </c>
      <c r="O111" s="143">
        <f>AC61</f>
        <v>7.8</v>
      </c>
      <c r="P111" s="144" t="s">
        <v>91</v>
      </c>
    </row>
    <row r="112" spans="13:21" ht="25" x14ac:dyDescent="0.25">
      <c r="M112" s="105" t="s">
        <v>81</v>
      </c>
      <c r="N112" s="145" t="s">
        <v>405</v>
      </c>
      <c r="O112" s="171">
        <f>AC61*U107</f>
        <v>25.69574468085106</v>
      </c>
      <c r="P112" s="98" t="s">
        <v>91</v>
      </c>
    </row>
    <row r="116" spans="11:28" ht="13" x14ac:dyDescent="0.3">
      <c r="K116" s="177" t="str">
        <f>B10</f>
        <v>6) Establish performance range within dial gauge range for poor, average and good performance</v>
      </c>
    </row>
    <row r="118" spans="11:28" s="253" customFormat="1" ht="12.75" customHeight="1" x14ac:dyDescent="0.25">
      <c r="M118" s="256"/>
      <c r="N118" s="254"/>
      <c r="P118" s="702" t="s">
        <v>407</v>
      </c>
      <c r="Q118" s="702"/>
      <c r="R118" s="702"/>
      <c r="S118" s="702"/>
      <c r="AB118" s="255"/>
    </row>
    <row r="119" spans="11:28" ht="25" x14ac:dyDescent="0.25">
      <c r="M119" s="105" t="s">
        <v>344</v>
      </c>
      <c r="N119" s="195" t="s">
        <v>440</v>
      </c>
      <c r="O119" s="194" t="s">
        <v>441</v>
      </c>
      <c r="P119" s="702" t="s">
        <v>67</v>
      </c>
      <c r="Q119" s="702"/>
      <c r="R119" s="702"/>
      <c r="S119" s="702"/>
      <c r="T119" s="253"/>
      <c r="U119" s="253"/>
      <c r="V119" s="253"/>
      <c r="W119" s="253"/>
    </row>
    <row r="120" spans="11:28" ht="13" x14ac:dyDescent="0.25">
      <c r="M120" s="219" t="str">
        <f t="array" ref="M120:M122">Performance_Descriptor_List</f>
        <v>Good</v>
      </c>
      <c r="N120" s="13">
        <v>0</v>
      </c>
      <c r="O120" s="193">
        <v>0.25</v>
      </c>
      <c r="P120" s="264">
        <f>($O$112-$O$111)*$N120+$O$111</f>
        <v>7.8</v>
      </c>
      <c r="Q120" s="265" t="s">
        <v>87</v>
      </c>
      <c r="R120" s="266">
        <f>($O$112-$O$111)*$O120+$O$111</f>
        <v>12.273936170212764</v>
      </c>
      <c r="S120" s="250" t="str">
        <f>$AD$61</f>
        <v>kL / tHSCW</v>
      </c>
      <c r="T120" s="253"/>
      <c r="U120" s="253"/>
      <c r="V120" s="253"/>
      <c r="W120" s="253"/>
    </row>
    <row r="121" spans="11:28" ht="13" x14ac:dyDescent="0.3">
      <c r="M121" s="219" t="str">
        <v>Fair</v>
      </c>
      <c r="N121" s="183">
        <f>O120</f>
        <v>0.25</v>
      </c>
      <c r="O121" s="193">
        <v>0.75</v>
      </c>
      <c r="P121" s="264">
        <f t="shared" ref="P121:P122" si="4">($O$112-$O$111)*$N121+$O$111</f>
        <v>12.273936170212764</v>
      </c>
      <c r="Q121" s="265" t="s">
        <v>87</v>
      </c>
      <c r="R121" s="266">
        <f t="shared" ref="R121:R122" si="5">($O$112-$O$111)*$O121+$O$111</f>
        <v>21.221808510638294</v>
      </c>
      <c r="S121" s="250" t="str">
        <f t="shared" ref="S121:S122" si="6">$AD$61</f>
        <v>kL / tHSCW</v>
      </c>
      <c r="T121" s="253"/>
      <c r="U121" s="253"/>
      <c r="V121" s="253"/>
      <c r="W121" s="253"/>
    </row>
    <row r="122" spans="11:28" ht="13" x14ac:dyDescent="0.3">
      <c r="M122" s="219" t="str">
        <v>Poor</v>
      </c>
      <c r="N122" s="183">
        <f>O121</f>
        <v>0.75</v>
      </c>
      <c r="O122" s="193">
        <v>1</v>
      </c>
      <c r="P122" s="264">
        <f t="shared" si="4"/>
        <v>21.221808510638294</v>
      </c>
      <c r="Q122" s="265" t="s">
        <v>87</v>
      </c>
      <c r="R122" s="266">
        <f t="shared" si="5"/>
        <v>25.69574468085106</v>
      </c>
      <c r="S122" s="250" t="str">
        <f t="shared" si="6"/>
        <v>kL / tHSCW</v>
      </c>
      <c r="T122" s="253"/>
      <c r="U122" s="253"/>
      <c r="V122" s="253"/>
      <c r="W122" s="253"/>
    </row>
  </sheetData>
  <sheetProtection algorithmName="SHA-512" hashValue="8+sO6orF5x/1ApOKira1ICavUsQXPCYJ8+r7QHKgT4sBI8neVFkwac2E5yoHCtz/OznxRha86ocQl7R+n+iqLQ==" saltValue="wp+jZnqfPwdl5thqfDg8MA==" spinCount="100000" sheet="1" objects="1" scenarios="1" selectLockedCells="1"/>
  <mergeCells count="13">
    <mergeCell ref="P119:S119"/>
    <mergeCell ref="P118:S118"/>
    <mergeCell ref="M38:M41"/>
    <mergeCell ref="L28:L41"/>
    <mergeCell ref="O110:P110"/>
    <mergeCell ref="M35:M37"/>
    <mergeCell ref="M30:M32"/>
    <mergeCell ref="M33:M34"/>
    <mergeCell ref="L16:L27"/>
    <mergeCell ref="M16:M19"/>
    <mergeCell ref="M20:M23"/>
    <mergeCell ref="M24:M27"/>
    <mergeCell ref="M28:M29"/>
  </mergeCells>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2016&amp;8         Page &amp;P  </oddFoot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'Drop-downs'!$B$18:$B$19</xm:f>
          </x14:formula1>
          <xm:sqref>O61 O67:O76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W201"/>
  <sheetViews>
    <sheetView workbookViewId="0">
      <selection activeCell="E234" sqref="E234"/>
    </sheetView>
  </sheetViews>
  <sheetFormatPr defaultColWidth="9.1796875" defaultRowHeight="12.5" x14ac:dyDescent="0.25"/>
  <cols>
    <col min="1" max="1" width="9.1796875" style="156"/>
    <col min="2" max="2" width="12" style="156" customWidth="1"/>
    <col min="3" max="3" width="9.1796875" style="156"/>
    <col min="4" max="4" width="5.7265625" style="156" customWidth="1"/>
    <col min="5" max="13" width="9.1796875" style="156"/>
    <col min="14" max="14" width="12.453125" style="156" bestFit="1" customWidth="1"/>
    <col min="15" max="18" width="9.1796875" style="156"/>
    <col min="19" max="19" width="19.54296875" style="156" bestFit="1" customWidth="1"/>
    <col min="20" max="16384" width="9.1796875" style="156"/>
  </cols>
  <sheetData>
    <row r="1" spans="1:14" ht="19.5" thickBot="1" x14ac:dyDescent="0.45">
      <c r="B1" s="5" t="s">
        <v>419</v>
      </c>
    </row>
    <row r="2" spans="1:14" ht="13" thickTop="1" x14ac:dyDescent="0.25"/>
    <row r="3" spans="1:14" x14ac:dyDescent="0.25">
      <c r="B3" s="156" t="s">
        <v>86</v>
      </c>
    </row>
    <row r="5" spans="1:14" x14ac:dyDescent="0.25">
      <c r="B5" s="253" t="s">
        <v>420</v>
      </c>
    </row>
    <row r="6" spans="1:14" x14ac:dyDescent="0.25">
      <c r="B6" s="253" t="s">
        <v>421</v>
      </c>
    </row>
    <row r="7" spans="1:14" x14ac:dyDescent="0.25">
      <c r="B7" s="253" t="s">
        <v>422</v>
      </c>
    </row>
    <row r="9" spans="1:14" ht="13" x14ac:dyDescent="0.3">
      <c r="A9" s="177" t="str">
        <f>B5</f>
        <v>1) From literature review, import figures to identify species-specific performance</v>
      </c>
    </row>
    <row r="11" spans="1:14" x14ac:dyDescent="0.25">
      <c r="C11" s="156" t="s">
        <v>548</v>
      </c>
      <c r="K11" s="156" t="s">
        <v>67</v>
      </c>
    </row>
    <row r="12" spans="1:14" s="253" customFormat="1" x14ac:dyDescent="0.25"/>
    <row r="13" spans="1:14" s="253" customFormat="1" ht="13" x14ac:dyDescent="0.3">
      <c r="K13" s="293" t="s">
        <v>550</v>
      </c>
    </row>
    <row r="14" spans="1:14" s="253" customFormat="1" x14ac:dyDescent="0.25">
      <c r="K14" s="217" t="s">
        <v>552</v>
      </c>
    </row>
    <row r="16" spans="1:14" x14ac:dyDescent="0.25">
      <c r="K16" s="156" t="s">
        <v>549</v>
      </c>
      <c r="N16" s="156">
        <v>1.1599999999999999</v>
      </c>
    </row>
    <row r="17" spans="1:12" x14ac:dyDescent="0.25">
      <c r="L17" s="260" t="s">
        <v>551</v>
      </c>
    </row>
    <row r="23" spans="1:12" ht="13" x14ac:dyDescent="0.3">
      <c r="A23" s="177" t="str">
        <f>B6</f>
        <v>2) Apply industry experience to calculate performance differences between large body and small body species</v>
      </c>
    </row>
    <row r="32" spans="1:12" x14ac:dyDescent="0.25">
      <c r="B32" s="156" t="s">
        <v>436</v>
      </c>
    </row>
    <row r="33" spans="1:9" s="253" customFormat="1" x14ac:dyDescent="0.25"/>
    <row r="34" spans="1:9" x14ac:dyDescent="0.25">
      <c r="H34" s="299" t="s">
        <v>548</v>
      </c>
      <c r="I34" s="299" t="s">
        <v>67</v>
      </c>
    </row>
    <row r="35" spans="1:9" x14ac:dyDescent="0.25">
      <c r="E35" s="297" t="str">
        <f>'Drop-downs'!B18</f>
        <v>Large body (cattle &amp; calves)</v>
      </c>
      <c r="F35" s="298"/>
      <c r="G35" s="298"/>
      <c r="H35" s="300">
        <v>1</v>
      </c>
      <c r="I35" s="300">
        <v>1</v>
      </c>
    </row>
    <row r="36" spans="1:9" x14ac:dyDescent="0.25">
      <c r="E36" s="297" t="str">
        <f>'Drop-downs'!B19</f>
        <v>Small body (all else)</v>
      </c>
      <c r="F36" s="298"/>
      <c r="G36" s="298"/>
      <c r="H36" s="300">
        <v>0.5</v>
      </c>
      <c r="I36" s="300">
        <f>N16</f>
        <v>1.1599999999999999</v>
      </c>
    </row>
    <row r="38" spans="1:9" ht="13" x14ac:dyDescent="0.3">
      <c r="A38" s="177" t="str">
        <f>B7</f>
        <v>3) From industry experience, model plant performance for partial-capacity production</v>
      </c>
    </row>
    <row r="40" spans="1:9" s="253" customFormat="1" x14ac:dyDescent="0.25"/>
    <row r="41" spans="1:9" s="253" customFormat="1" x14ac:dyDescent="0.25"/>
    <row r="48" spans="1:9" x14ac:dyDescent="0.25">
      <c r="B48" s="156" t="s">
        <v>437</v>
      </c>
    </row>
    <row r="50" spans="4:9" x14ac:dyDescent="0.25">
      <c r="D50" s="671" t="s">
        <v>423</v>
      </c>
      <c r="E50" s="671"/>
      <c r="F50" s="671"/>
      <c r="G50" s="671" t="s">
        <v>424</v>
      </c>
      <c r="H50" s="671"/>
      <c r="I50" s="671"/>
    </row>
    <row r="51" spans="4:9" x14ac:dyDescent="0.25">
      <c r="D51" s="724">
        <v>0</v>
      </c>
      <c r="E51" s="724"/>
      <c r="F51" s="724"/>
      <c r="G51" s="722">
        <v>1.25</v>
      </c>
      <c r="H51" s="722"/>
      <c r="I51" s="722"/>
    </row>
    <row r="52" spans="4:9" x14ac:dyDescent="0.25">
      <c r="D52" s="724">
        <v>0.5</v>
      </c>
      <c r="E52" s="724"/>
      <c r="F52" s="724"/>
      <c r="G52" s="722">
        <v>1.25</v>
      </c>
      <c r="H52" s="722"/>
      <c r="I52" s="722"/>
    </row>
    <row r="53" spans="4:9" x14ac:dyDescent="0.25">
      <c r="D53" s="724">
        <v>1</v>
      </c>
      <c r="E53" s="724"/>
      <c r="F53" s="724"/>
      <c r="G53" s="722">
        <v>1</v>
      </c>
      <c r="H53" s="722"/>
      <c r="I53" s="722"/>
    </row>
    <row r="71" spans="2:2" ht="19.5" thickBot="1" x14ac:dyDescent="0.45">
      <c r="B71" s="5" t="s">
        <v>720</v>
      </c>
    </row>
    <row r="72" spans="2:2" ht="13" thickTop="1" x14ac:dyDescent="0.25"/>
    <row r="73" spans="2:2" s="253" customFormat="1" x14ac:dyDescent="0.25">
      <c r="B73" s="253" t="s">
        <v>738</v>
      </c>
    </row>
    <row r="74" spans="2:2" s="253" customFormat="1" x14ac:dyDescent="0.25">
      <c r="B74" s="253" t="s">
        <v>739</v>
      </c>
    </row>
    <row r="75" spans="2:2" s="253" customFormat="1" x14ac:dyDescent="0.25">
      <c r="B75" s="253" t="s">
        <v>740</v>
      </c>
    </row>
    <row r="76" spans="2:2" s="253" customFormat="1" x14ac:dyDescent="0.25"/>
    <row r="77" spans="2:2" x14ac:dyDescent="0.25">
      <c r="B77" s="156" t="s">
        <v>86</v>
      </c>
    </row>
    <row r="79" spans="2:2" x14ac:dyDescent="0.25">
      <c r="B79" s="156" t="s">
        <v>721</v>
      </c>
    </row>
    <row r="80" spans="2:2" x14ac:dyDescent="0.25">
      <c r="B80" s="156" t="s">
        <v>722</v>
      </c>
    </row>
    <row r="81" spans="1:23" x14ac:dyDescent="0.25">
      <c r="B81" s="156" t="s">
        <v>723</v>
      </c>
    </row>
    <row r="83" spans="1:23" ht="13" x14ac:dyDescent="0.3">
      <c r="A83" s="177" t="str">
        <f>B79</f>
        <v>1) From literature review, import typical mass flow diagram to derive key figures</v>
      </c>
    </row>
    <row r="84" spans="1:23" ht="13" x14ac:dyDescent="0.3">
      <c r="B84" s="294" t="s">
        <v>542</v>
      </c>
    </row>
    <row r="87" spans="1:23" ht="78.5" x14ac:dyDescent="0.25">
      <c r="T87" s="309" t="s">
        <v>728</v>
      </c>
      <c r="U87" s="365" t="str">
        <f t="array" ref="U87:W87">TRANSPOSE(S89:S91)&amp;" (ratio)"</f>
        <v>Hot Standard Carcass (ratio)</v>
      </c>
      <c r="V87" s="365" t="str">
        <v>Boning Yield (ratio)</v>
      </c>
      <c r="W87" s="365" t="str">
        <v>Render Material (ratio)</v>
      </c>
    </row>
    <row r="88" spans="1:23" x14ac:dyDescent="0.25">
      <c r="S88" s="326" t="s">
        <v>724</v>
      </c>
      <c r="T88" s="326">
        <v>400</v>
      </c>
      <c r="U88" s="368">
        <f>T89/T88</f>
        <v>0.55000000000000004</v>
      </c>
      <c r="V88" s="368">
        <f>T90/T88</f>
        <v>0.38</v>
      </c>
      <c r="W88" s="368">
        <f>T91/T88</f>
        <v>0.38500000000000001</v>
      </c>
    </row>
    <row r="89" spans="1:23" x14ac:dyDescent="0.25">
      <c r="S89" s="326" t="s">
        <v>725</v>
      </c>
      <c r="T89" s="326">
        <v>220</v>
      </c>
      <c r="U89" s="369"/>
      <c r="V89" s="368">
        <f>T90/T89</f>
        <v>0.69090909090909092</v>
      </c>
      <c r="W89" s="368">
        <f>T91/T89</f>
        <v>0.7</v>
      </c>
    </row>
    <row r="90" spans="1:23" x14ac:dyDescent="0.25">
      <c r="S90" s="326" t="s">
        <v>726</v>
      </c>
      <c r="T90" s="326">
        <v>152</v>
      </c>
      <c r="U90" s="369"/>
      <c r="V90" s="369"/>
      <c r="W90" s="368">
        <f>T91/T90</f>
        <v>1.013157894736842</v>
      </c>
    </row>
    <row r="91" spans="1:23" x14ac:dyDescent="0.25">
      <c r="S91" s="326" t="s">
        <v>727</v>
      </c>
      <c r="T91" s="326">
        <v>154</v>
      </c>
      <c r="U91" s="369"/>
      <c r="V91" s="369"/>
      <c r="W91" s="369"/>
    </row>
    <row r="110" spans="1:9" ht="13" x14ac:dyDescent="0.3">
      <c r="A110" s="177" t="str">
        <f>B80</f>
        <v xml:space="preserve">2) Import user's facility-based production rates </v>
      </c>
    </row>
    <row r="112" spans="1:9" s="253" customFormat="1" x14ac:dyDescent="0.25">
      <c r="H112" s="253" t="s">
        <v>425</v>
      </c>
      <c r="I112" s="253" t="s">
        <v>426</v>
      </c>
    </row>
    <row r="113" spans="2:13" s="253" customFormat="1" ht="25" x14ac:dyDescent="0.25">
      <c r="B113" s="309" t="s">
        <v>686</v>
      </c>
      <c r="C113" s="326" t="s">
        <v>679</v>
      </c>
      <c r="D113" s="326" t="s">
        <v>425</v>
      </c>
      <c r="E113" s="326" t="s">
        <v>426</v>
      </c>
      <c r="F113" s="326" t="s">
        <v>687</v>
      </c>
      <c r="G113" s="364" t="s">
        <v>92</v>
      </c>
      <c r="H113" s="364" t="s">
        <v>384</v>
      </c>
      <c r="I113" s="364" t="s">
        <v>384</v>
      </c>
    </row>
    <row r="114" spans="2:13" s="253" customFormat="1" x14ac:dyDescent="0.25">
      <c r="B114" s="326" t="s">
        <v>682</v>
      </c>
      <c r="C114" s="359" t="str">
        <f>Inputs!I12</f>
        <v>Cattle</v>
      </c>
      <c r="D114" s="359">
        <f>Inputs!K12</f>
        <v>40000</v>
      </c>
      <c r="E114" s="359" t="str">
        <f>Inputs!J12</f>
        <v>-</v>
      </c>
      <c r="F114" s="359" t="str">
        <f>Inputs!L12</f>
        <v>tHSCW / yr</v>
      </c>
      <c r="G114" s="14" t="str">
        <f>IF(F114='Drop-downs'!$E$19,Inputs!Q12/1000,"")</f>
        <v/>
      </c>
      <c r="H114" s="291">
        <f>IF($F114='Drop-downs'!$E$19,D114*$G114,D114)</f>
        <v>40000</v>
      </c>
      <c r="I114" s="291"/>
    </row>
    <row r="115" spans="2:13" s="253" customFormat="1" x14ac:dyDescent="0.25">
      <c r="B115" s="326" t="s">
        <v>682</v>
      </c>
      <c r="C115" s="359" t="str">
        <f>Inputs!I13</f>
        <v>Calves</v>
      </c>
      <c r="D115" s="359">
        <f>Inputs!K13</f>
        <v>0</v>
      </c>
      <c r="E115" s="359" t="str">
        <f>Inputs!J13</f>
        <v>-</v>
      </c>
      <c r="F115" s="359" t="str">
        <f>Inputs!L13</f>
        <v>tHSCW / yr</v>
      </c>
      <c r="G115" s="14" t="str">
        <f>IF(F115='Drop-downs'!$E$19,Inputs!Q13/1000,"")</f>
        <v/>
      </c>
      <c r="H115" s="291">
        <f>IF($F115='Drop-downs'!$E$19,D115*$G115,D115)</f>
        <v>0</v>
      </c>
      <c r="I115" s="291"/>
    </row>
    <row r="116" spans="2:13" s="253" customFormat="1" x14ac:dyDescent="0.25">
      <c r="B116" s="326" t="s">
        <v>683</v>
      </c>
      <c r="C116" s="359" t="str">
        <f>Inputs!I15</f>
        <v>Sheep</v>
      </c>
      <c r="D116" s="359">
        <f>Inputs!K15</f>
        <v>0</v>
      </c>
      <c r="E116" s="359" t="str">
        <f>Inputs!J15</f>
        <v>-</v>
      </c>
      <c r="F116" s="359" t="str">
        <f>Inputs!L15</f>
        <v>tHSCW / yr</v>
      </c>
      <c r="G116" s="14" t="str">
        <f>IF(F116='Drop-downs'!$E$19,Inputs!Q14/1000,"")</f>
        <v/>
      </c>
      <c r="H116" s="291">
        <f>IF($F116='Drop-downs'!$E$19,D116*$G116,D116)</f>
        <v>0</v>
      </c>
      <c r="I116" s="291"/>
    </row>
    <row r="117" spans="2:13" s="253" customFormat="1" x14ac:dyDescent="0.25">
      <c r="B117" s="326" t="s">
        <v>683</v>
      </c>
      <c r="C117" s="359" t="str">
        <f>Inputs!I17</f>
        <v>Lamb</v>
      </c>
      <c r="D117" s="359">
        <f>Inputs!K17</f>
        <v>0</v>
      </c>
      <c r="E117" s="359" t="str">
        <f>Inputs!J17</f>
        <v>-</v>
      </c>
      <c r="F117" s="359" t="str">
        <f>Inputs!L17</f>
        <v>tHSCW / yr</v>
      </c>
      <c r="G117" s="14" t="str">
        <f>IF(F117='Drop-downs'!$E$19,Inputs!Q15/1000,"")</f>
        <v/>
      </c>
      <c r="H117" s="291">
        <f>IF($F117='Drop-downs'!$E$19,D117*$G117,D117)</f>
        <v>0</v>
      </c>
      <c r="I117" s="291"/>
    </row>
    <row r="118" spans="2:13" s="253" customFormat="1" x14ac:dyDescent="0.25">
      <c r="B118" s="326" t="s">
        <v>683</v>
      </c>
      <c r="C118" s="359" t="str">
        <f>Inputs!I18</f>
        <v>Goat</v>
      </c>
      <c r="D118" s="359">
        <f>Inputs!K18</f>
        <v>0</v>
      </c>
      <c r="E118" s="359" t="str">
        <f>Inputs!J18</f>
        <v>-</v>
      </c>
      <c r="F118" s="359" t="str">
        <f>Inputs!L18</f>
        <v>tHSCW / yr</v>
      </c>
      <c r="G118" s="14" t="str">
        <f>IF(F118='Drop-downs'!$E$19,Inputs!Q16/1000,"")</f>
        <v/>
      </c>
      <c r="H118" s="291">
        <f>IF($F118='Drop-downs'!$E$19,D118*$G118,D118)</f>
        <v>0</v>
      </c>
      <c r="I118" s="291"/>
    </row>
    <row r="119" spans="2:13" s="253" customFormat="1" x14ac:dyDescent="0.25">
      <c r="H119" s="17">
        <f>SUM(H114:H118)</f>
        <v>40000</v>
      </c>
      <c r="I119" s="16">
        <f>Inputs!$J$19</f>
        <v>45000</v>
      </c>
      <c r="J119" s="253" t="s">
        <v>343</v>
      </c>
    </row>
    <row r="121" spans="2:13" s="253" customFormat="1" x14ac:dyDescent="0.25"/>
    <row r="122" spans="2:13" s="253" customFormat="1" x14ac:dyDescent="0.25">
      <c r="B122" s="253" t="str">
        <f>Inputs!C30</f>
        <v>How much rendering product is external vs internal?</v>
      </c>
      <c r="G122" s="253" t="str">
        <f>Inputs!I30</f>
        <v>How much product enters the boning room?</v>
      </c>
      <c r="K122" s="253" t="str">
        <f>Inputs!N30</f>
        <v>How much final product leaves the site as chilled/frozen?</v>
      </c>
    </row>
    <row r="123" spans="2:13" s="253" customFormat="1" x14ac:dyDescent="0.25">
      <c r="B123" s="253" t="str">
        <f>Inputs!C31</f>
        <v>Internal input (t/yr)</v>
      </c>
      <c r="E123" s="360">
        <f>Inputs!D31</f>
        <v>38000</v>
      </c>
      <c r="G123" s="253" t="str">
        <f>Inputs!I31</f>
        <v>Boning room (tonnes/yr)</v>
      </c>
      <c r="I123" s="360">
        <f>Inputs!K31</f>
        <v>34000</v>
      </c>
      <c r="K123" s="253" t="s">
        <v>910</v>
      </c>
      <c r="M123" s="360">
        <f>Inputs!Q31</f>
        <v>4000</v>
      </c>
    </row>
    <row r="124" spans="2:13" s="253" customFormat="1" x14ac:dyDescent="0.25">
      <c r="B124" s="253" t="str">
        <f>Inputs!C32</f>
        <v>External input (t/yr)</v>
      </c>
      <c r="E124" s="360">
        <f>Inputs!D32</f>
        <v>0</v>
      </c>
      <c r="G124" s="253" t="str">
        <f>Inputs!I32</f>
        <v>Carcass only (t/yr)</v>
      </c>
      <c r="I124" s="360">
        <f>Inputs!K32</f>
        <v>4000</v>
      </c>
      <c r="K124" s="253" t="s">
        <v>911</v>
      </c>
      <c r="M124" s="360">
        <f>Inputs!Q32</f>
        <v>34000</v>
      </c>
    </row>
    <row r="126" spans="2:13" s="253" customFormat="1" x14ac:dyDescent="0.25"/>
    <row r="127" spans="2:13" s="253" customFormat="1" x14ac:dyDescent="0.25">
      <c r="B127" s="402" t="s">
        <v>888</v>
      </c>
      <c r="E127" s="360">
        <f>Inputs!D37</f>
        <v>0</v>
      </c>
      <c r="G127" s="402" t="s">
        <v>903</v>
      </c>
      <c r="I127" s="360">
        <f>Inputs!K37</f>
        <v>3400</v>
      </c>
    </row>
    <row r="128" spans="2:13" s="253" customFormat="1" x14ac:dyDescent="0.25"/>
    <row r="129" spans="1:14" s="253" customFormat="1" x14ac:dyDescent="0.25"/>
    <row r="130" spans="1:14" s="253" customFormat="1" ht="13" x14ac:dyDescent="0.3">
      <c r="A130" s="177" t="str">
        <f>B81</f>
        <v xml:space="preserve">3) Calculate energy and water intensity adjustment figures </v>
      </c>
    </row>
    <row r="131" spans="1:14" s="253" customFormat="1" x14ac:dyDescent="0.25"/>
    <row r="132" spans="1:14" x14ac:dyDescent="0.25">
      <c r="B132" s="156" t="s">
        <v>729</v>
      </c>
      <c r="G132" s="156" t="s">
        <v>732</v>
      </c>
      <c r="K132" s="156" t="s">
        <v>743</v>
      </c>
    </row>
    <row r="133" spans="1:14" x14ac:dyDescent="0.25">
      <c r="B133" s="156" t="s">
        <v>730</v>
      </c>
      <c r="E133" s="367">
        <f>W89</f>
        <v>0.7</v>
      </c>
      <c r="G133" s="156" t="s">
        <v>730</v>
      </c>
      <c r="I133" s="367">
        <f>V89</f>
        <v>0.69090909090909092</v>
      </c>
      <c r="K133" s="156" t="s">
        <v>9</v>
      </c>
      <c r="M133" s="16" t="str">
        <f>Inputs!$K$29</f>
        <v>Yes</v>
      </c>
    </row>
    <row r="134" spans="1:14" x14ac:dyDescent="0.25">
      <c r="B134" s="156" t="s">
        <v>731</v>
      </c>
      <c r="E134" s="367">
        <f>IF(E123="",E133,E123/H119)</f>
        <v>0.95</v>
      </c>
      <c r="G134" s="253" t="s">
        <v>731</v>
      </c>
      <c r="I134" s="367">
        <f>I123/I119</f>
        <v>0.75555555555555554</v>
      </c>
      <c r="K134" s="156" t="s">
        <v>12</v>
      </c>
      <c r="M134" s="16" t="str">
        <f>Inputs!$Q$29</f>
        <v>Yes</v>
      </c>
    </row>
    <row r="136" spans="1:14" ht="39" customHeight="1" x14ac:dyDescent="0.25">
      <c r="B136" s="723" t="s">
        <v>735</v>
      </c>
      <c r="C136" s="723"/>
      <c r="D136" s="723"/>
      <c r="E136" s="723"/>
      <c r="F136" s="253"/>
      <c r="G136" s="723" t="s">
        <v>736</v>
      </c>
      <c r="H136" s="723"/>
      <c r="I136" s="723"/>
      <c r="J136" s="723"/>
      <c r="K136" s="721" t="s">
        <v>747</v>
      </c>
      <c r="L136" s="721"/>
      <c r="M136" s="721"/>
      <c r="N136" s="721"/>
    </row>
    <row r="137" spans="1:14" x14ac:dyDescent="0.25">
      <c r="L137" s="156" t="s">
        <v>742</v>
      </c>
      <c r="M137" s="97">
        <f>IF(M134="Yes",0,IF(M133="Yes",H119*V89,H119))</f>
        <v>0</v>
      </c>
    </row>
    <row r="138" spans="1:14" x14ac:dyDescent="0.25">
      <c r="B138" s="156" t="s">
        <v>733</v>
      </c>
      <c r="E138" s="107">
        <f>H119*E133</f>
        <v>28000</v>
      </c>
      <c r="G138" s="253" t="s">
        <v>733</v>
      </c>
      <c r="I138" s="107">
        <f>H119*I133</f>
        <v>27636.363636363636</v>
      </c>
      <c r="L138" s="253" t="s">
        <v>741</v>
      </c>
      <c r="M138" s="97">
        <f>IF(M134="No",0,IF(M133="Yes",H119*V89,H119))</f>
        <v>27636.363636363636</v>
      </c>
    </row>
    <row r="139" spans="1:14" x14ac:dyDescent="0.25">
      <c r="L139" s="156" t="s">
        <v>31</v>
      </c>
      <c r="M139" s="103">
        <f>SUM(M137:M138)</f>
        <v>27636.363636363636</v>
      </c>
    </row>
    <row r="140" spans="1:14" x14ac:dyDescent="0.25">
      <c r="B140" s="156" t="s">
        <v>734</v>
      </c>
      <c r="G140" s="253" t="s">
        <v>734</v>
      </c>
    </row>
    <row r="141" spans="1:14" x14ac:dyDescent="0.25">
      <c r="K141" s="156" t="s">
        <v>744</v>
      </c>
    </row>
    <row r="142" spans="1:14" x14ac:dyDescent="0.25">
      <c r="E142" s="374">
        <f>IF(AND(E123="",E124=""),1,(IF(E123="",0,E123)+IF(E124="",0,E124))/E138)</f>
        <v>1.3571428571428572</v>
      </c>
      <c r="I142" s="375">
        <f>I123/I138</f>
        <v>1.2302631578947369</v>
      </c>
      <c r="M142" s="366">
        <f>IF(AND(M123="",M124=""),1,(IF(M123="",0,M123)+IF(M124="",0,M124))/M139)</f>
        <v>1.375</v>
      </c>
    </row>
    <row r="143" spans="1:14" ht="41.25" customHeight="1" x14ac:dyDescent="0.25">
      <c r="B143" s="720" t="s">
        <v>737</v>
      </c>
      <c r="C143" s="720"/>
      <c r="D143" s="720"/>
      <c r="E143" s="720"/>
      <c r="G143" s="720" t="s">
        <v>737</v>
      </c>
      <c r="H143" s="720"/>
      <c r="I143" s="720"/>
      <c r="J143" s="720"/>
      <c r="K143" s="156" t="s">
        <v>745</v>
      </c>
    </row>
    <row r="144" spans="1:14" x14ac:dyDescent="0.25">
      <c r="M144" s="366">
        <f>IF(AND(M123="",M124=""),0,IF(M124+M123=0,0,M124/(M124+M123)))</f>
        <v>0.89473684210526316</v>
      </c>
    </row>
    <row r="146" spans="2:18" ht="39.75" customHeight="1" x14ac:dyDescent="0.25">
      <c r="K146" s="720" t="s">
        <v>746</v>
      </c>
      <c r="L146" s="720"/>
      <c r="M146" s="720"/>
      <c r="N146" s="720"/>
      <c r="O146" s="720" t="s">
        <v>748</v>
      </c>
      <c r="P146" s="720"/>
      <c r="Q146" s="720"/>
      <c r="R146" s="720"/>
    </row>
    <row r="147" spans="2:18" x14ac:dyDescent="0.25">
      <c r="M147" s="375">
        <f>M142*M144</f>
        <v>1.2302631578947369</v>
      </c>
      <c r="Q147" s="374">
        <f>M142</f>
        <v>1.375</v>
      </c>
    </row>
    <row r="148" spans="2:18" s="253" customFormat="1" ht="43.5" customHeight="1" x14ac:dyDescent="0.25">
      <c r="K148" s="720" t="s">
        <v>750</v>
      </c>
      <c r="L148" s="720"/>
      <c r="M148" s="720"/>
      <c r="N148" s="720"/>
      <c r="O148" s="720" t="s">
        <v>749</v>
      </c>
      <c r="P148" s="720"/>
      <c r="Q148" s="720"/>
      <c r="R148" s="720"/>
    </row>
    <row r="152" spans="2:18" x14ac:dyDescent="0.25">
      <c r="B152" s="156" t="s">
        <v>890</v>
      </c>
      <c r="E152" s="156" t="str">
        <f>Inputs!D35</f>
        <v>No</v>
      </c>
    </row>
    <row r="154" spans="2:18" x14ac:dyDescent="0.25">
      <c r="B154" s="253" t="s">
        <v>730</v>
      </c>
      <c r="E154" s="510">
        <f>36/220</f>
        <v>0.16363636363636364</v>
      </c>
      <c r="F154" s="156" t="s">
        <v>889</v>
      </c>
    </row>
    <row r="155" spans="2:18" x14ac:dyDescent="0.25">
      <c r="B155" s="253" t="s">
        <v>731</v>
      </c>
      <c r="E155" s="509">
        <f>E127/H119</f>
        <v>0</v>
      </c>
    </row>
    <row r="157" spans="2:18" x14ac:dyDescent="0.25">
      <c r="B157" s="253" t="s">
        <v>733</v>
      </c>
      <c r="E157" s="107">
        <f>E154*H119</f>
        <v>6545.454545454545</v>
      </c>
      <c r="F157" s="156" t="s">
        <v>94</v>
      </c>
    </row>
    <row r="159" spans="2:18" s="253" customFormat="1" x14ac:dyDescent="0.25">
      <c r="B159" s="253" t="s">
        <v>895</v>
      </c>
      <c r="E159" s="253" t="s">
        <v>896</v>
      </c>
      <c r="F159" s="253" t="s">
        <v>897</v>
      </c>
    </row>
    <row r="160" spans="2:18" s="253" customFormat="1" x14ac:dyDescent="0.25">
      <c r="B160" s="402" t="s">
        <v>892</v>
      </c>
      <c r="E160" s="253" t="str">
        <f>Inputs!D39</f>
        <v>Yes</v>
      </c>
      <c r="F160" s="511">
        <f>1/3</f>
        <v>0.33333333333333331</v>
      </c>
      <c r="G160" s="253" t="s">
        <v>898</v>
      </c>
    </row>
    <row r="161" spans="2:7" s="253" customFormat="1" x14ac:dyDescent="0.25">
      <c r="B161" s="402" t="s">
        <v>893</v>
      </c>
      <c r="E161" s="253" t="str">
        <f>Inputs!D40</f>
        <v>Yes</v>
      </c>
      <c r="F161" s="511">
        <f>1/3</f>
        <v>0.33333333333333331</v>
      </c>
    </row>
    <row r="162" spans="2:7" s="253" customFormat="1" x14ac:dyDescent="0.25">
      <c r="B162" s="402" t="s">
        <v>894</v>
      </c>
      <c r="E162" s="253" t="str">
        <f>Inputs!D41</f>
        <v>Yes</v>
      </c>
      <c r="F162" s="511">
        <f>1/3</f>
        <v>0.33333333333333331</v>
      </c>
    </row>
    <row r="163" spans="2:7" s="253" customFormat="1" x14ac:dyDescent="0.25">
      <c r="B163" s="402" t="s">
        <v>900</v>
      </c>
      <c r="E163" s="253" t="str">
        <f>Inputs!D42</f>
        <v>No</v>
      </c>
      <c r="F163" s="511">
        <v>0.5</v>
      </c>
      <c r="G163" s="253" t="s">
        <v>901</v>
      </c>
    </row>
    <row r="164" spans="2:7" s="253" customFormat="1" x14ac:dyDescent="0.25">
      <c r="B164" s="402" t="s">
        <v>899</v>
      </c>
      <c r="E164" s="15">
        <f>(E160="Yes")*F160+(E161="Yes")*F161+(E162="Yes")*F162+(E163="Yes")*F163</f>
        <v>1</v>
      </c>
    </row>
    <row r="165" spans="2:7" s="253" customFormat="1" x14ac:dyDescent="0.25">
      <c r="B165" s="402"/>
    </row>
    <row r="166" spans="2:7" x14ac:dyDescent="0.25">
      <c r="B166" s="253" t="s">
        <v>734</v>
      </c>
    </row>
    <row r="168" spans="2:7" x14ac:dyDescent="0.25">
      <c r="E168" s="374">
        <f>E127/E157*E164</f>
        <v>0</v>
      </c>
    </row>
    <row r="170" spans="2:7" ht="45" customHeight="1" x14ac:dyDescent="0.25">
      <c r="B170" s="720" t="s">
        <v>737</v>
      </c>
      <c r="C170" s="720"/>
      <c r="D170" s="720"/>
      <c r="E170" s="720"/>
    </row>
    <row r="172" spans="2:7" x14ac:dyDescent="0.25">
      <c r="B172" s="402" t="s">
        <v>892</v>
      </c>
    </row>
    <row r="173" spans="2:7" x14ac:dyDescent="0.25">
      <c r="B173" s="402" t="s">
        <v>893</v>
      </c>
    </row>
    <row r="174" spans="2:7" x14ac:dyDescent="0.25">
      <c r="B174" s="402" t="s">
        <v>894</v>
      </c>
    </row>
    <row r="178" spans="2:7" x14ac:dyDescent="0.25">
      <c r="B178" s="156" t="s">
        <v>6</v>
      </c>
    </row>
    <row r="180" spans="2:7" x14ac:dyDescent="0.25">
      <c r="B180" s="156" t="s">
        <v>912</v>
      </c>
      <c r="E180" s="107">
        <v>358</v>
      </c>
      <c r="F180" s="156" t="s">
        <v>913</v>
      </c>
      <c r="G180" s="156" t="s">
        <v>914</v>
      </c>
    </row>
    <row r="181" spans="2:7" x14ac:dyDescent="0.25">
      <c r="B181" s="253" t="s">
        <v>912</v>
      </c>
      <c r="E181" s="107">
        <f>E180*50</f>
        <v>17900</v>
      </c>
      <c r="F181" s="156" t="s">
        <v>915</v>
      </c>
      <c r="G181" s="156" t="s">
        <v>916</v>
      </c>
    </row>
    <row r="182" spans="2:7" x14ac:dyDescent="0.25">
      <c r="B182" s="156" t="s">
        <v>917</v>
      </c>
      <c r="E182" s="107">
        <v>181392</v>
      </c>
      <c r="F182" s="156" t="s">
        <v>918</v>
      </c>
      <c r="G182" s="253" t="s">
        <v>919</v>
      </c>
    </row>
    <row r="184" spans="2:7" x14ac:dyDescent="0.25">
      <c r="B184" s="253" t="s">
        <v>730</v>
      </c>
      <c r="E184" s="512">
        <f>E181/E182</f>
        <v>9.8681308988268504E-2</v>
      </c>
    </row>
    <row r="185" spans="2:7" x14ac:dyDescent="0.25">
      <c r="B185" s="253" t="s">
        <v>731</v>
      </c>
      <c r="C185" s="253"/>
      <c r="D185" s="253"/>
      <c r="E185" s="15">
        <f>I127/H119</f>
        <v>8.5000000000000006E-2</v>
      </c>
    </row>
    <row r="187" spans="2:7" x14ac:dyDescent="0.25">
      <c r="B187" s="253" t="s">
        <v>733</v>
      </c>
      <c r="E187" s="107">
        <f>H119*E184</f>
        <v>3947.2523595307403</v>
      </c>
    </row>
    <row r="189" spans="2:7" s="253" customFormat="1" x14ac:dyDescent="0.25">
      <c r="B189" s="253" t="s">
        <v>924</v>
      </c>
      <c r="E189" s="253" t="s">
        <v>896</v>
      </c>
      <c r="F189" s="253" t="s">
        <v>897</v>
      </c>
    </row>
    <row r="190" spans="2:7" x14ac:dyDescent="0.25">
      <c r="B190" s="402" t="s">
        <v>921</v>
      </c>
      <c r="E190" s="156" t="str">
        <f>Inputs!K39</f>
        <v>Yes</v>
      </c>
      <c r="F190" s="511">
        <v>0.1</v>
      </c>
      <c r="G190" s="253" t="s">
        <v>898</v>
      </c>
    </row>
    <row r="191" spans="2:7" x14ac:dyDescent="0.25">
      <c r="B191" s="402" t="s">
        <v>922</v>
      </c>
      <c r="E191" s="253" t="str">
        <f>Inputs!K40</f>
        <v>Yes</v>
      </c>
      <c r="F191" s="511">
        <v>0.2</v>
      </c>
      <c r="G191" s="253" t="s">
        <v>925</v>
      </c>
    </row>
    <row r="192" spans="2:7" x14ac:dyDescent="0.25">
      <c r="B192" s="402" t="s">
        <v>923</v>
      </c>
      <c r="E192" s="253" t="str">
        <f>Inputs!K41</f>
        <v>Yes</v>
      </c>
      <c r="F192" s="511">
        <v>0.2</v>
      </c>
      <c r="G192" s="253"/>
    </row>
    <row r="193" spans="2:6" x14ac:dyDescent="0.25">
      <c r="B193" s="402" t="s">
        <v>920</v>
      </c>
      <c r="E193" s="253" t="str">
        <f>Inputs!K42</f>
        <v>Yes</v>
      </c>
      <c r="F193" s="511">
        <v>0.5</v>
      </c>
    </row>
    <row r="194" spans="2:6" x14ac:dyDescent="0.25">
      <c r="E194" s="15">
        <f>(E190="Yes")*F190+(E191="Yes")*F191+(E192="Yes")*F192+(E193="Yes")*F193</f>
        <v>1</v>
      </c>
    </row>
    <row r="196" spans="2:6" x14ac:dyDescent="0.25">
      <c r="B196" s="253" t="s">
        <v>734</v>
      </c>
    </row>
    <row r="198" spans="2:6" x14ac:dyDescent="0.25">
      <c r="E198" s="374">
        <f>I127/E187*E194</f>
        <v>0.86135865921787702</v>
      </c>
    </row>
    <row r="201" spans="2:6" ht="40.5" customHeight="1" x14ac:dyDescent="0.25">
      <c r="B201" s="720" t="s">
        <v>737</v>
      </c>
      <c r="C201" s="720"/>
      <c r="D201" s="720"/>
      <c r="E201" s="720"/>
    </row>
  </sheetData>
  <sheetProtection selectLockedCells="1"/>
  <mergeCells count="19">
    <mergeCell ref="B170:E170"/>
    <mergeCell ref="B201:E201"/>
    <mergeCell ref="D50:F50"/>
    <mergeCell ref="D51:F51"/>
    <mergeCell ref="D52:F52"/>
    <mergeCell ref="D53:F53"/>
    <mergeCell ref="B143:E143"/>
    <mergeCell ref="B136:E136"/>
    <mergeCell ref="G50:I50"/>
    <mergeCell ref="G51:I51"/>
    <mergeCell ref="G52:I52"/>
    <mergeCell ref="G53:I53"/>
    <mergeCell ref="G136:J136"/>
    <mergeCell ref="G143:J143"/>
    <mergeCell ref="O148:R148"/>
    <mergeCell ref="K148:N148"/>
    <mergeCell ref="K136:N136"/>
    <mergeCell ref="K146:N146"/>
    <mergeCell ref="O146:R146"/>
  </mergeCells>
  <conditionalFormatting sqref="B127">
    <cfRule type="expression" dxfId="25" priority="8">
      <formula>AND($K$28="None",$Q$28="No",$V$28="No")</formula>
    </cfRule>
  </conditionalFormatting>
  <conditionalFormatting sqref="B127">
    <cfRule type="expression" dxfId="24" priority="7">
      <formula>$Q$28="No"</formula>
    </cfRule>
  </conditionalFormatting>
  <conditionalFormatting sqref="B172:B174">
    <cfRule type="expression" dxfId="23" priority="6">
      <formula>AND($K$28="None",$Q$28="No",$V$28="No")</formula>
    </cfRule>
  </conditionalFormatting>
  <conditionalFormatting sqref="B160:B165">
    <cfRule type="expression" dxfId="22" priority="5">
      <formula>AND($K$28="None",$Q$28="No",$V$28="No")</formula>
    </cfRule>
  </conditionalFormatting>
  <conditionalFormatting sqref="G127">
    <cfRule type="expression" dxfId="21" priority="4">
      <formula>AND($K$28="None",$Q$28="No",$V$28="No")</formula>
    </cfRule>
  </conditionalFormatting>
  <conditionalFormatting sqref="G127">
    <cfRule type="expression" dxfId="20" priority="3">
      <formula>$Q$28="No"</formula>
    </cfRule>
  </conditionalFormatting>
  <conditionalFormatting sqref="B190">
    <cfRule type="expression" dxfId="19" priority="2">
      <formula>AND($K$28="None",$Q$28="No",$V$28="No")</formula>
    </cfRule>
  </conditionalFormatting>
  <conditionalFormatting sqref="B191:B193">
    <cfRule type="expression" dxfId="18" priority="1">
      <formula>AND($K$28="None",$Q$28="No",$V$28="No")</formula>
    </cfRule>
  </conditionalFormatting>
  <hyperlinks>
    <hyperlink ref="K14" r:id="rId1" xr:uid="{00000000-0004-0000-0700-000000000000}"/>
  </hyperlinks>
  <pageMargins left="0.70866141732283472" right="0.70866141732283472" top="0.74803149606299213" bottom="0.74803149606299213" header="0.31496062992125984" footer="0.31496062992125984"/>
  <pageSetup paperSize="9" orientation="portrait" r:id="rId2"/>
  <headerFooter>
    <oddHeader>&amp;R&amp;G</oddHeader>
    <oddFooter xml:space="preserve">&amp;L&amp;G&amp;C&amp;"Arial,Regular"&amp;8&amp;A&amp;R&amp;"Arial,Regular"&amp;7© Energetics Pty Ltd 2016&amp;8         Page &amp;P  </oddFooter>
  </headerFooter>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Summary</vt:lpstr>
      <vt:lpstr>Inputs</vt:lpstr>
      <vt:lpstr>Output</vt:lpstr>
      <vt:lpstr>Logic Flowchart</vt:lpstr>
      <vt:lpstr>Logic Flowchart (2)</vt:lpstr>
      <vt:lpstr>Calculations</vt:lpstr>
      <vt:lpstr>Benchmark-Energy</vt:lpstr>
      <vt:lpstr>Benchmark-Water</vt:lpstr>
      <vt:lpstr>Benchmark-Adjustments</vt:lpstr>
      <vt:lpstr>Performance Pyramid</vt:lpstr>
      <vt:lpstr>Opportunity Library</vt:lpstr>
      <vt:lpstr>Opp Library - PT</vt:lpstr>
      <vt:lpstr>Drop-downs</vt:lpstr>
      <vt:lpstr>NGERFactors</vt:lpstr>
      <vt:lpstr>Biomass_Options</vt:lpstr>
      <vt:lpstr>Facilities_List</vt:lpstr>
      <vt:lpstr>Facility</vt:lpstr>
      <vt:lpstr>Opportunity_Category</vt:lpstr>
      <vt:lpstr>Opportunity_Category_Display_Matrix</vt:lpstr>
      <vt:lpstr>Performance_Descriptor_List</vt:lpstr>
      <vt:lpstr>Output!Print_Area</vt:lpstr>
      <vt:lpstr>Output!Print_Titles</vt:lpstr>
      <vt:lpstr>Rendering_Options</vt:lpstr>
      <vt:lpstr>RNG_PDF</vt:lpstr>
    </vt:vector>
  </TitlesOfParts>
  <Company>Energetics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Bunstead</dc:creator>
  <cp:lastModifiedBy>Caitlin Morris</cp:lastModifiedBy>
  <cp:lastPrinted>2022-01-25T05:38:53Z</cp:lastPrinted>
  <dcterms:created xsi:type="dcterms:W3CDTF">2010-07-14T08:44:28Z</dcterms:created>
  <dcterms:modified xsi:type="dcterms:W3CDTF">2022-02-16T02:45:20Z</dcterms:modified>
</cp:coreProperties>
</file>