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ttps://ampcltd-my.sharepoint.com/personal/m_deegan_ampc_com_au/Documents/Documents/Projects/2021-1045 - AMPC, Bundled/A2EP/Heat Pump selection guide/"/>
    </mc:Choice>
  </mc:AlternateContent>
  <xr:revisionPtr revIDLastSave="0" documentId="8_{3E110D21-2BAA-4481-973B-68CA75A1BCAD}" xr6:coauthVersionLast="47" xr6:coauthVersionMax="47" xr10:uidLastSave="{00000000-0000-0000-0000-000000000000}"/>
  <workbookProtection workbookAlgorithmName="SHA-512" workbookHashValue="ss4UqVEZnucCk3qrccKCmS0fHVHPGZaeWJ5eR/jazvTsiwSH+T/K7I41KBRd5k+2GrrYX1UNOXLv/Dm6ivWl7g==" workbookSaltValue="cpJDDhhLDLjsWcS8oLSW/g==" workbookSpinCount="100000" lockStructure="1"/>
  <bookViews>
    <workbookView xWindow="-120" yWindow="-120" windowWidth="29040" windowHeight="15840" xr2:uid="{00000000-000D-0000-FFFF-FFFF00000000}"/>
  </bookViews>
  <sheets>
    <sheet name="Tool Guide" sheetId="7" r:id="rId1"/>
    <sheet name="Selection Tool" sheetId="5" r:id="rId2"/>
    <sheet name="Refrigerant Guide" sheetId="8" r:id="rId3"/>
    <sheet name="R717" sheetId="1" state="hidden" r:id="rId4"/>
    <sheet name="R744" sheetId="4" state="hidden" r:id="rId5"/>
    <sheet name="Validation Data" sheetId="2" state="hidden" r:id="rId6"/>
    <sheet name="Thermal storage" sheetId="6"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5" l="1"/>
  <c r="C24" i="5" l="1"/>
  <c r="C3" i="5"/>
  <c r="H14" i="5"/>
  <c r="H12" i="5" l="1"/>
  <c r="C8" i="5"/>
  <c r="H13" i="5" s="1"/>
  <c r="C49" i="5"/>
  <c r="G35" i="6" l="1"/>
  <c r="G34" i="6"/>
  <c r="G33" i="6"/>
  <c r="G32" i="6"/>
  <c r="G31" i="6"/>
  <c r="A16" i="2"/>
  <c r="A17" i="2" s="1"/>
  <c r="A18" i="2" s="1"/>
  <c r="A19" i="2" s="1"/>
  <c r="A15" i="2"/>
  <c r="B36" i="6"/>
  <c r="B37" i="6"/>
  <c r="B35" i="6"/>
  <c r="B34" i="6"/>
  <c r="B33" i="6"/>
  <c r="B32" i="6"/>
  <c r="B31" i="6"/>
  <c r="D65" i="5"/>
  <c r="C65" i="5"/>
  <c r="H62" i="1"/>
  <c r="C69" i="5" l="1"/>
  <c r="A83" i="1" l="1"/>
  <c r="A82" i="1"/>
  <c r="M69" i="4"/>
  <c r="P54" i="4"/>
  <c r="O54" i="4"/>
  <c r="AK132" i="1"/>
  <c r="AE132" i="1"/>
  <c r="AE131" i="1"/>
  <c r="AO130" i="1"/>
  <c r="AL130" i="1"/>
  <c r="AK130" i="1"/>
  <c r="AJ130" i="1"/>
  <c r="AE130" i="1"/>
  <c r="AN129" i="1"/>
  <c r="AM129" i="1"/>
  <c r="AL129" i="1"/>
  <c r="AJ129" i="1"/>
  <c r="AI129" i="1"/>
  <c r="AE129" i="1"/>
  <c r="AK129" i="1" s="1"/>
  <c r="AE128" i="1"/>
  <c r="AO128" i="1" s="1"/>
  <c r="AK127" i="1"/>
  <c r="AL127" i="1" s="1"/>
  <c r="AM127" i="1" s="1"/>
  <c r="AN127" i="1" s="1"/>
  <c r="AO127" i="1" s="1"/>
  <c r="AP127" i="1" s="1"/>
  <c r="AJ127" i="1"/>
  <c r="AI127" i="1"/>
  <c r="AI117" i="1"/>
  <c r="AJ117" i="1" s="1"/>
  <c r="AK117" i="1" s="1"/>
  <c r="AL117" i="1" s="1"/>
  <c r="AM117" i="1" s="1"/>
  <c r="AN117" i="1" s="1"/>
  <c r="AO117" i="1" s="1"/>
  <c r="AP117" i="1" s="1"/>
  <c r="AQ117" i="1" s="1"/>
  <c r="AI108" i="1"/>
  <c r="AJ108" i="1" s="1"/>
  <c r="AK108" i="1" s="1"/>
  <c r="AL108" i="1" s="1"/>
  <c r="AM108" i="1" s="1"/>
  <c r="AN108" i="1" s="1"/>
  <c r="AO108" i="1" s="1"/>
  <c r="AP108" i="1" s="1"/>
  <c r="AQ108" i="1" s="1"/>
  <c r="AR108" i="1" s="1"/>
  <c r="AG116" i="4"/>
  <c r="AG102" i="4"/>
  <c r="AD102" i="4"/>
  <c r="I69" i="4"/>
  <c r="AF102" i="4"/>
  <c r="AH102" i="4"/>
  <c r="AI102" i="4"/>
  <c r="AJ102" i="4"/>
  <c r="AK102" i="4"/>
  <c r="AL102" i="4"/>
  <c r="AD116" i="4"/>
  <c r="AF116" i="4"/>
  <c r="AH116" i="4"/>
  <c r="AI116" i="4"/>
  <c r="AH128" i="1" l="1"/>
  <c r="AJ131" i="1"/>
  <c r="AP128" i="1"/>
  <c r="AK131" i="1"/>
  <c r="AI128" i="1"/>
  <c r="AL128" i="1"/>
  <c r="AN131" i="1"/>
  <c r="AJ128" i="1"/>
  <c r="AJ134" i="1" s="1"/>
  <c r="AO129" i="1"/>
  <c r="AO134" i="1" s="1"/>
  <c r="AM130" i="1"/>
  <c r="AL131" i="1"/>
  <c r="AL132" i="1"/>
  <c r="AL134" i="1" s="1"/>
  <c r="AK128" i="1"/>
  <c r="AH129" i="1"/>
  <c r="AH134" i="1" s="1"/>
  <c r="AP129" i="1"/>
  <c r="AN130" i="1"/>
  <c r="AM131" i="1"/>
  <c r="AM132" i="1"/>
  <c r="AN132" i="1"/>
  <c r="AM128" i="1"/>
  <c r="AP130" i="1"/>
  <c r="AO131" i="1"/>
  <c r="AO132" i="1"/>
  <c r="AN128" i="1"/>
  <c r="AI130" i="1"/>
  <c r="AI134" i="1" s="1"/>
  <c r="AP131" i="1"/>
  <c r="AP132" i="1"/>
  <c r="AI99" i="1"/>
  <c r="AJ99" i="1" s="1"/>
  <c r="AK99" i="1" s="1"/>
  <c r="AL99" i="1" s="1"/>
  <c r="AM99" i="1" s="1"/>
  <c r="AN99" i="1" s="1"/>
  <c r="AO99" i="1" s="1"/>
  <c r="AP99" i="1" s="1"/>
  <c r="AQ99" i="1" s="1"/>
  <c r="AR99" i="1" s="1"/>
  <c r="AS99" i="1" s="1"/>
  <c r="AI91" i="1"/>
  <c r="AJ91" i="1" s="1"/>
  <c r="AK91" i="1" s="1"/>
  <c r="AL91" i="1" s="1"/>
  <c r="AM91" i="1" s="1"/>
  <c r="AN91" i="1" s="1"/>
  <c r="AO91" i="1" s="1"/>
  <c r="AP91" i="1" s="1"/>
  <c r="AQ91" i="1" s="1"/>
  <c r="AR91" i="1" s="1"/>
  <c r="AS91" i="1" s="1"/>
  <c r="AT91" i="1" s="1"/>
  <c r="AE122" i="1"/>
  <c r="AE121" i="1"/>
  <c r="AJ121" i="1" s="1"/>
  <c r="AE120" i="1"/>
  <c r="AI120" i="1" s="1"/>
  <c r="AE119" i="1"/>
  <c r="AH119" i="1" s="1"/>
  <c r="AE118" i="1"/>
  <c r="R91" i="1"/>
  <c r="S91" i="1" s="1"/>
  <c r="T91" i="1" s="1"/>
  <c r="U91" i="1" s="1"/>
  <c r="V91" i="1" s="1"/>
  <c r="W91" i="1" s="1"/>
  <c r="X91" i="1" s="1"/>
  <c r="Y91" i="1" s="1"/>
  <c r="Z91" i="1" s="1"/>
  <c r="AA91" i="1" s="1"/>
  <c r="AB91" i="1" s="1"/>
  <c r="AC91" i="1" s="1"/>
  <c r="R99" i="1"/>
  <c r="S99" i="1" s="1"/>
  <c r="T99" i="1" s="1"/>
  <c r="U99" i="1" s="1"/>
  <c r="V99" i="1" s="1"/>
  <c r="W99" i="1" s="1"/>
  <c r="X99" i="1" s="1"/>
  <c r="Y99" i="1" s="1"/>
  <c r="Z99" i="1" s="1"/>
  <c r="AA99" i="1" s="1"/>
  <c r="AB99" i="1" s="1"/>
  <c r="R108" i="1"/>
  <c r="S108" i="1" s="1"/>
  <c r="T108" i="1" s="1"/>
  <c r="U108" i="1" s="1"/>
  <c r="V108" i="1" s="1"/>
  <c r="W108" i="1" s="1"/>
  <c r="X108" i="1" s="1"/>
  <c r="Y108" i="1" s="1"/>
  <c r="Z108" i="1" s="1"/>
  <c r="AA108" i="1" s="1"/>
  <c r="R117" i="1"/>
  <c r="S117" i="1" s="1"/>
  <c r="T117" i="1" s="1"/>
  <c r="U117" i="1" s="1"/>
  <c r="V117" i="1" s="1"/>
  <c r="W117" i="1" s="1"/>
  <c r="X117" i="1" s="1"/>
  <c r="Y117" i="1" s="1"/>
  <c r="Z117" i="1" s="1"/>
  <c r="R127" i="1"/>
  <c r="S127" i="1" s="1"/>
  <c r="T127" i="1" s="1"/>
  <c r="U127" i="1" s="1"/>
  <c r="V127" i="1" s="1"/>
  <c r="W127" i="1" s="1"/>
  <c r="X127" i="1" s="1"/>
  <c r="Y127" i="1" s="1"/>
  <c r="P129" i="1"/>
  <c r="P130" i="1" s="1"/>
  <c r="P131" i="1" s="1"/>
  <c r="P132" i="1" s="1"/>
  <c r="P133" i="1" s="1"/>
  <c r="P134" i="1" s="1"/>
  <c r="P135" i="1" s="1"/>
  <c r="P136" i="1" s="1"/>
  <c r="P119" i="1"/>
  <c r="P120" i="1" s="1"/>
  <c r="P121" i="1" s="1"/>
  <c r="P122" i="1" s="1"/>
  <c r="P123" i="1" s="1"/>
  <c r="P124" i="1" s="1"/>
  <c r="AE112" i="1"/>
  <c r="AE111" i="1"/>
  <c r="AE110" i="1"/>
  <c r="AE109" i="1"/>
  <c r="AE92" i="1"/>
  <c r="AP92" i="1" s="1"/>
  <c r="AE103" i="1"/>
  <c r="AM103" i="1" s="1"/>
  <c r="AE102" i="1"/>
  <c r="AM102" i="1" s="1"/>
  <c r="AE101" i="1"/>
  <c r="AL101" i="1" s="1"/>
  <c r="AE100" i="1"/>
  <c r="AM100" i="1" s="1"/>
  <c r="AE94" i="1"/>
  <c r="AP94" i="1" s="1"/>
  <c r="AE93" i="1"/>
  <c r="AN93" i="1" s="1"/>
  <c r="A70" i="1"/>
  <c r="A71" i="1" s="1"/>
  <c r="A72" i="1" s="1"/>
  <c r="A73" i="1" s="1"/>
  <c r="A74" i="1" s="1"/>
  <c r="A75" i="1" s="1"/>
  <c r="A76" i="1" s="1"/>
  <c r="A77" i="1" s="1"/>
  <c r="A78" i="1" s="1"/>
  <c r="A79" i="1" s="1"/>
  <c r="A80" i="1" s="1"/>
  <c r="A81" i="1" s="1"/>
  <c r="C68" i="1"/>
  <c r="D68" i="1" s="1"/>
  <c r="E68" i="1" s="1"/>
  <c r="F68" i="1" s="1"/>
  <c r="G68" i="1" s="1"/>
  <c r="H68" i="1" s="1"/>
  <c r="I68" i="1" s="1"/>
  <c r="J68" i="1" s="1"/>
  <c r="K68" i="1" s="1"/>
  <c r="L68" i="1" s="1"/>
  <c r="M68" i="1" s="1"/>
  <c r="AP134" i="1" l="1"/>
  <c r="AN122" i="1"/>
  <c r="AM122" i="1"/>
  <c r="AQ122" i="1"/>
  <c r="AP122" i="1"/>
  <c r="AO122" i="1"/>
  <c r="AL122" i="1"/>
  <c r="AK122" i="1"/>
  <c r="AK134" i="1"/>
  <c r="AN134" i="1"/>
  <c r="AM134" i="1"/>
  <c r="AN119" i="1"/>
  <c r="AM119" i="1"/>
  <c r="AI119" i="1"/>
  <c r="AL119" i="1"/>
  <c r="AJ119" i="1"/>
  <c r="AK119" i="1"/>
  <c r="AQ119" i="1"/>
  <c r="AP119" i="1"/>
  <c r="AO119" i="1"/>
  <c r="AM111" i="1"/>
  <c r="AP111" i="1"/>
  <c r="AL111" i="1"/>
  <c r="AK111" i="1"/>
  <c r="AR111" i="1"/>
  <c r="AJ111" i="1"/>
  <c r="AO111" i="1"/>
  <c r="AN111" i="1"/>
  <c r="AQ111" i="1"/>
  <c r="AM120" i="1"/>
  <c r="AQ120" i="1"/>
  <c r="AP120" i="1"/>
  <c r="AL120" i="1"/>
  <c r="AK120" i="1"/>
  <c r="AJ120" i="1"/>
  <c r="AO120" i="1"/>
  <c r="AN120" i="1"/>
  <c r="AM121" i="1"/>
  <c r="AL121" i="1"/>
  <c r="AQ121" i="1"/>
  <c r="AK121" i="1"/>
  <c r="AO121" i="1"/>
  <c r="AN121" i="1"/>
  <c r="AP121" i="1"/>
  <c r="AM112" i="1"/>
  <c r="AL112" i="1"/>
  <c r="AK112" i="1"/>
  <c r="AQ112" i="1"/>
  <c r="AP112" i="1"/>
  <c r="AR112" i="1"/>
  <c r="AO112" i="1"/>
  <c r="AN112" i="1"/>
  <c r="AP109" i="1"/>
  <c r="AH109" i="1"/>
  <c r="AH114" i="1" s="1"/>
  <c r="AO109" i="1"/>
  <c r="AK109" i="1"/>
  <c r="AN109" i="1"/>
  <c r="AM109" i="1"/>
  <c r="AL109" i="1"/>
  <c r="AR109" i="1"/>
  <c r="AJ109" i="1"/>
  <c r="AJ114" i="1" s="1"/>
  <c r="AQ109" i="1"/>
  <c r="AI109" i="1"/>
  <c r="AI114" i="1" s="1"/>
  <c r="AP118" i="1"/>
  <c r="AP124" i="1" s="1"/>
  <c r="AH118" i="1"/>
  <c r="AH124" i="1" s="1"/>
  <c r="AO118" i="1"/>
  <c r="AN118" i="1"/>
  <c r="AM118" i="1"/>
  <c r="AM124" i="1" s="1"/>
  <c r="AJ118" i="1"/>
  <c r="AQ118" i="1"/>
  <c r="AI118" i="1"/>
  <c r="AI124" i="1" s="1"/>
  <c r="AL118" i="1"/>
  <c r="AL124" i="1" s="1"/>
  <c r="AK118" i="1"/>
  <c r="AN110" i="1"/>
  <c r="AM110" i="1"/>
  <c r="AL110" i="1"/>
  <c r="AR110" i="1"/>
  <c r="AI110" i="1"/>
  <c r="AK110" i="1"/>
  <c r="AP110" i="1"/>
  <c r="AO110" i="1"/>
  <c r="AJ110" i="1"/>
  <c r="AQ110" i="1"/>
  <c r="AO100" i="1"/>
  <c r="AQ100" i="1"/>
  <c r="AQ93" i="1"/>
  <c r="AQ92" i="1"/>
  <c r="AT92" i="1"/>
  <c r="AT93" i="1"/>
  <c r="AQ102" i="1"/>
  <c r="AQ94" i="1"/>
  <c r="AT94" i="1"/>
  <c r="AR100" i="1"/>
  <c r="AJ92" i="1"/>
  <c r="AS103" i="1"/>
  <c r="AN100" i="1"/>
  <c r="AO101" i="1"/>
  <c r="AP101" i="1"/>
  <c r="AR102" i="1"/>
  <c r="AR93" i="1"/>
  <c r="AQ101" i="1"/>
  <c r="AS102" i="1"/>
  <c r="AS93" i="1"/>
  <c r="AP100" i="1"/>
  <c r="AR101" i="1"/>
  <c r="AN103" i="1"/>
  <c r="AO103" i="1"/>
  <c r="AN102" i="1"/>
  <c r="AR92" i="1"/>
  <c r="AR94" i="1"/>
  <c r="AK94" i="1"/>
  <c r="AS100" i="1"/>
  <c r="AO102" i="1"/>
  <c r="AQ103" i="1"/>
  <c r="AS101" i="1"/>
  <c r="AP103" i="1"/>
  <c r="AS92" i="1"/>
  <c r="AS94" i="1"/>
  <c r="AO93" i="1"/>
  <c r="AN101" i="1"/>
  <c r="AP102" i="1"/>
  <c r="AR103" i="1"/>
  <c r="AM101" i="1"/>
  <c r="AM105" i="1" s="1"/>
  <c r="AJ101" i="1"/>
  <c r="AH100" i="1"/>
  <c r="AH105" i="1" s="1"/>
  <c r="AJ100" i="1"/>
  <c r="AK100" i="1"/>
  <c r="AL100" i="1"/>
  <c r="AI100" i="1"/>
  <c r="AI101" i="1"/>
  <c r="AM94" i="1"/>
  <c r="AL94" i="1"/>
  <c r="AN94" i="1"/>
  <c r="AI92" i="1"/>
  <c r="AI96" i="1" s="1"/>
  <c r="AM92" i="1"/>
  <c r="AK92" i="1"/>
  <c r="AO94" i="1"/>
  <c r="AL92" i="1"/>
  <c r="AJ93" i="1"/>
  <c r="AK93" i="1"/>
  <c r="AJ102" i="1"/>
  <c r="AK103" i="1"/>
  <c r="AP93" i="1"/>
  <c r="AP96" i="1" s="1"/>
  <c r="AN92" i="1"/>
  <c r="AL93" i="1"/>
  <c r="AK102" i="1"/>
  <c r="AL103" i="1"/>
  <c r="AO92" i="1"/>
  <c r="AM93" i="1"/>
  <c r="AK101" i="1"/>
  <c r="AL102" i="1"/>
  <c r="C72" i="5"/>
  <c r="D72" i="5"/>
  <c r="AQ124" i="1" l="1"/>
  <c r="AJ124" i="1"/>
  <c r="AP114" i="1"/>
  <c r="AN124" i="1"/>
  <c r="AO124" i="1"/>
  <c r="AK124" i="1"/>
  <c r="AQ114" i="1"/>
  <c r="AL114" i="1"/>
  <c r="AR114" i="1"/>
  <c r="AI105" i="1"/>
  <c r="AO114" i="1"/>
  <c r="AM114" i="1"/>
  <c r="AK114" i="1"/>
  <c r="AJ96" i="1"/>
  <c r="AN114" i="1"/>
  <c r="AL105" i="1"/>
  <c r="AS105" i="1"/>
  <c r="AQ96" i="1"/>
  <c r="AL96" i="1"/>
  <c r="AM96" i="1"/>
  <c r="AN96" i="1"/>
  <c r="AN105" i="1"/>
  <c r="AO96" i="1"/>
  <c r="AR96" i="1"/>
  <c r="AR105" i="1"/>
  <c r="AQ105" i="1"/>
  <c r="AT96" i="1"/>
  <c r="AK105" i="1"/>
  <c r="AS96" i="1"/>
  <c r="AJ105" i="1"/>
  <c r="AO105" i="1"/>
  <c r="AP105" i="1"/>
  <c r="AK96" i="1"/>
  <c r="D67" i="5"/>
  <c r="C67" i="5"/>
  <c r="M81" i="4"/>
  <c r="M80" i="4"/>
  <c r="M76" i="4"/>
  <c r="M74" i="4"/>
  <c r="M73" i="4"/>
  <c r="M70" i="4"/>
  <c r="I74" i="4"/>
  <c r="I75" i="4" s="1"/>
  <c r="I76" i="4" s="1"/>
  <c r="I77" i="4" s="1"/>
  <c r="I78" i="4" s="1"/>
  <c r="I79" i="4" s="1"/>
  <c r="I80" i="4" s="1"/>
  <c r="I73" i="4"/>
  <c r="I71" i="4"/>
  <c r="I72" i="4" s="1"/>
  <c r="I70" i="4"/>
  <c r="L62" i="4"/>
  <c r="K62" i="4"/>
  <c r="J62" i="4"/>
  <c r="L61" i="4"/>
  <c r="K61" i="4"/>
  <c r="J61" i="4"/>
  <c r="L60" i="4"/>
  <c r="K60" i="4"/>
  <c r="J60" i="4"/>
  <c r="L59" i="4"/>
  <c r="K59" i="4"/>
  <c r="J59" i="4"/>
  <c r="L58" i="4"/>
  <c r="K58" i="4"/>
  <c r="J58" i="4"/>
  <c r="L57" i="4"/>
  <c r="K57" i="4"/>
  <c r="J57" i="4"/>
  <c r="L56" i="4"/>
  <c r="K56" i="4"/>
  <c r="J56" i="4"/>
  <c r="L55" i="4"/>
  <c r="K55" i="4"/>
  <c r="J55" i="4"/>
  <c r="L54" i="4"/>
  <c r="K54" i="4"/>
  <c r="J54" i="4"/>
  <c r="P62" i="4"/>
  <c r="P61" i="4"/>
  <c r="P60" i="4"/>
  <c r="P59" i="4"/>
  <c r="P58" i="4"/>
  <c r="P57" i="4"/>
  <c r="P56" i="4"/>
  <c r="P55" i="4"/>
  <c r="O62" i="4"/>
  <c r="O61" i="4"/>
  <c r="O60" i="4"/>
  <c r="O59" i="4"/>
  <c r="O58" i="4"/>
  <c r="O57" i="4"/>
  <c r="O56" i="4"/>
  <c r="O55" i="4"/>
  <c r="AF113" i="4"/>
  <c r="AI112" i="4"/>
  <c r="AH112" i="4"/>
  <c r="AG106" i="4"/>
  <c r="AE106" i="4"/>
  <c r="AA114" i="4"/>
  <c r="AG114" i="4" s="1"/>
  <c r="AA113" i="4"/>
  <c r="AE113" i="4" s="1"/>
  <c r="AA112" i="4"/>
  <c r="AG112" i="4" s="1"/>
  <c r="AA111" i="4"/>
  <c r="AH111" i="4" s="1"/>
  <c r="AA110" i="4"/>
  <c r="AF110" i="4" s="1"/>
  <c r="AA109" i="4"/>
  <c r="AD109" i="4" s="1"/>
  <c r="AA108" i="4"/>
  <c r="AI108" i="4" s="1"/>
  <c r="AA107" i="4"/>
  <c r="AH107" i="4" s="1"/>
  <c r="AA106" i="4"/>
  <c r="AF106" i="4" s="1"/>
  <c r="M63" i="4"/>
  <c r="M64" i="4" s="1"/>
  <c r="M65" i="4" s="1"/>
  <c r="AA100" i="4"/>
  <c r="AG100" i="4" s="1"/>
  <c r="AA99" i="4"/>
  <c r="AH99" i="4" s="1"/>
  <c r="AA98" i="4"/>
  <c r="AI98" i="4" s="1"/>
  <c r="AA97" i="4"/>
  <c r="AJ97" i="4" s="1"/>
  <c r="AA96" i="4"/>
  <c r="AK96" i="4" s="1"/>
  <c r="AA95" i="4"/>
  <c r="AL95" i="4" s="1"/>
  <c r="AA94" i="4"/>
  <c r="AI94" i="4" s="1"/>
  <c r="AA93" i="4"/>
  <c r="AH93" i="4" s="1"/>
  <c r="AA92" i="4"/>
  <c r="AK92" i="4" s="1"/>
  <c r="A70" i="4"/>
  <c r="A71" i="4" s="1"/>
  <c r="A72" i="4" s="1"/>
  <c r="A73" i="4" s="1"/>
  <c r="A74" i="4" s="1"/>
  <c r="A75" i="4" s="1"/>
  <c r="A76" i="4" s="1"/>
  <c r="A77" i="4" s="1"/>
  <c r="A78" i="4" s="1"/>
  <c r="A79" i="4" s="1"/>
  <c r="A80" i="4" s="1"/>
  <c r="A81" i="4" s="1"/>
  <c r="C68" i="4"/>
  <c r="D68" i="4" s="1"/>
  <c r="E68" i="4" s="1"/>
  <c r="F68" i="4" s="1"/>
  <c r="G68" i="4" s="1"/>
  <c r="H68" i="4" s="1"/>
  <c r="I68" i="4" s="1"/>
  <c r="J68" i="4" s="1"/>
  <c r="K68" i="4" s="1"/>
  <c r="L68" i="4" s="1"/>
  <c r="M68" i="4" s="1"/>
  <c r="O73" i="4" l="1"/>
  <c r="P73" i="4"/>
  <c r="P69" i="4"/>
  <c r="O69" i="4"/>
  <c r="O74" i="4"/>
  <c r="M75" i="4"/>
  <c r="P74" i="4"/>
  <c r="P76" i="4"/>
  <c r="M77" i="4"/>
  <c r="O76" i="4"/>
  <c r="P80" i="4"/>
  <c r="O80" i="4"/>
  <c r="P70" i="4"/>
  <c r="O70" i="4"/>
  <c r="M71" i="4"/>
  <c r="AH108" i="4"/>
  <c r="AE109" i="4"/>
  <c r="AD110" i="4"/>
  <c r="AF114" i="4"/>
  <c r="AE114" i="4"/>
  <c r="AF111" i="4"/>
  <c r="AH114" i="4"/>
  <c r="AG111" i="4"/>
  <c r="AD106" i="4"/>
  <c r="AI111" i="4"/>
  <c r="AG107" i="4"/>
  <c r="AH106" i="4"/>
  <c r="AD108" i="4"/>
  <c r="AF109" i="4"/>
  <c r="AH110" i="4"/>
  <c r="AD112" i="4"/>
  <c r="AG113" i="4"/>
  <c r="AI114" i="4"/>
  <c r="AI107" i="4"/>
  <c r="AI106" i="4"/>
  <c r="AE108" i="4"/>
  <c r="AG109" i="4"/>
  <c r="AI110" i="4"/>
  <c r="AE112" i="4"/>
  <c r="AH113" i="4"/>
  <c r="AD113" i="4"/>
  <c r="AD107" i="4"/>
  <c r="AF108" i="4"/>
  <c r="AH109" i="4"/>
  <c r="AD111" i="4"/>
  <c r="AF112" i="4"/>
  <c r="AI113" i="4"/>
  <c r="AG110" i="4"/>
  <c r="AE107" i="4"/>
  <c r="AG108" i="4"/>
  <c r="AI109" i="4"/>
  <c r="AE111" i="4"/>
  <c r="AD114" i="4"/>
  <c r="AF107" i="4"/>
  <c r="AE110" i="4"/>
  <c r="AF95" i="4"/>
  <c r="AE95" i="4"/>
  <c r="AL99" i="4"/>
  <c r="AG93" i="4"/>
  <c r="AE94" i="4"/>
  <c r="AG95" i="4"/>
  <c r="AK97" i="4"/>
  <c r="AL97" i="4"/>
  <c r="AD92" i="4"/>
  <c r="AF94" i="4"/>
  <c r="AD99" i="4"/>
  <c r="AE92" i="4"/>
  <c r="AJ94" i="4"/>
  <c r="AD97" i="4"/>
  <c r="AE99" i="4"/>
  <c r="AE100" i="4"/>
  <c r="AF92" i="4"/>
  <c r="AK94" i="4"/>
  <c r="AE97" i="4"/>
  <c r="AI99" i="4"/>
  <c r="AF100" i="4"/>
  <c r="AD94" i="4"/>
  <c r="AG92" i="4"/>
  <c r="AL94" i="4"/>
  <c r="AF97" i="4"/>
  <c r="AJ99" i="4"/>
  <c r="AL92" i="4"/>
  <c r="AG97" i="4"/>
  <c r="AF98" i="4"/>
  <c r="AK99" i="4"/>
  <c r="AJ93" i="4"/>
  <c r="AJ98" i="4"/>
  <c r="AI92" i="4"/>
  <c r="AD93" i="4"/>
  <c r="AL93" i="4"/>
  <c r="AG94" i="4"/>
  <c r="AJ95" i="4"/>
  <c r="AE96" i="4"/>
  <c r="AH97" i="4"/>
  <c r="AK98" i="4"/>
  <c r="AF99" i="4"/>
  <c r="AI100" i="4"/>
  <c r="AH95" i="4"/>
  <c r="AI95" i="4"/>
  <c r="AD96" i="4"/>
  <c r="AJ92" i="4"/>
  <c r="AE93" i="4"/>
  <c r="AH94" i="4"/>
  <c r="AK95" i="4"/>
  <c r="AF96" i="4"/>
  <c r="AI97" i="4"/>
  <c r="AD98" i="4"/>
  <c r="AL98" i="4"/>
  <c r="AG99" i="4"/>
  <c r="AJ100" i="4"/>
  <c r="AJ96" i="4"/>
  <c r="AH98" i="4"/>
  <c r="AH92" i="4"/>
  <c r="AK93" i="4"/>
  <c r="AL96" i="4"/>
  <c r="AH100" i="4"/>
  <c r="AF93" i="4"/>
  <c r="AD95" i="4"/>
  <c r="AG96" i="4"/>
  <c r="AE98" i="4"/>
  <c r="AK100" i="4"/>
  <c r="AD100" i="4"/>
  <c r="AL100" i="4"/>
  <c r="AH96" i="4"/>
  <c r="AI96" i="4"/>
  <c r="AG98" i="4"/>
  <c r="AI93" i="4"/>
  <c r="H70" i="4" l="1"/>
  <c r="L70" i="4"/>
  <c r="K70" i="4"/>
  <c r="J70" i="4"/>
  <c r="P75" i="4"/>
  <c r="O75" i="4"/>
  <c r="L74" i="4"/>
  <c r="K74" i="4"/>
  <c r="J74" i="4"/>
  <c r="H74" i="4"/>
  <c r="O71" i="4"/>
  <c r="M72" i="4"/>
  <c r="P71" i="4"/>
  <c r="L69" i="4"/>
  <c r="K69" i="4"/>
  <c r="J69" i="4"/>
  <c r="H69" i="4"/>
  <c r="K80" i="4"/>
  <c r="K81" i="4" s="1"/>
  <c r="J80" i="4"/>
  <c r="J81" i="4" s="1"/>
  <c r="L80" i="4"/>
  <c r="L81" i="4" s="1"/>
  <c r="J76" i="4"/>
  <c r="L76" i="4"/>
  <c r="K76" i="4"/>
  <c r="H76" i="4"/>
  <c r="P77" i="4"/>
  <c r="O77" i="4"/>
  <c r="M78" i="4"/>
  <c r="H73" i="4"/>
  <c r="K73" i="4"/>
  <c r="L73" i="4"/>
  <c r="J73" i="4"/>
  <c r="D73" i="5"/>
  <c r="C73" i="5"/>
  <c r="D36" i="5" l="1"/>
  <c r="C36" i="5"/>
  <c r="C66" i="5" s="1"/>
  <c r="C38" i="5" s="1"/>
  <c r="J75" i="4"/>
  <c r="H75" i="4"/>
  <c r="L75" i="4"/>
  <c r="K75" i="4"/>
  <c r="H71" i="4"/>
  <c r="L71" i="4"/>
  <c r="K71" i="4"/>
  <c r="J71" i="4"/>
  <c r="P72" i="4"/>
  <c r="O72" i="4"/>
  <c r="M79" i="4"/>
  <c r="O78" i="4"/>
  <c r="P78" i="4"/>
  <c r="L77" i="4"/>
  <c r="K77" i="4"/>
  <c r="J77" i="4"/>
  <c r="H77" i="4"/>
  <c r="K65" i="4"/>
  <c r="L65" i="4" s="1"/>
  <c r="K64" i="4"/>
  <c r="L64" i="4" s="1"/>
  <c r="D69" i="5"/>
  <c r="D70" i="5"/>
  <c r="D71" i="5"/>
  <c r="D66" i="5" l="1"/>
  <c r="D39" i="5"/>
  <c r="D40" i="5"/>
  <c r="K72" i="4"/>
  <c r="H72" i="4"/>
  <c r="J72" i="4"/>
  <c r="L72" i="4"/>
  <c r="L78" i="4"/>
  <c r="H78" i="4"/>
  <c r="K78" i="4"/>
  <c r="J78" i="4"/>
  <c r="P79" i="4"/>
  <c r="O79" i="4"/>
  <c r="B12" i="1"/>
  <c r="H79" i="4" l="1"/>
  <c r="L79" i="4"/>
  <c r="K79" i="4"/>
  <c r="J79" i="4"/>
  <c r="B16" i="6"/>
  <c r="E24" i="6"/>
  <c r="K63" i="4" l="1"/>
  <c r="L63" i="4" s="1"/>
  <c r="C71" i="5" l="1"/>
  <c r="E36" i="4" l="1"/>
  <c r="E37" i="4" s="1"/>
  <c r="E38" i="4" s="1"/>
  <c r="E39" i="4" s="1"/>
  <c r="E40" i="4" s="1"/>
  <c r="E41" i="4" s="1"/>
  <c r="E42" i="4" s="1"/>
  <c r="E43" i="4" s="1"/>
  <c r="E44" i="4" s="1"/>
  <c r="E45" i="4" s="1"/>
  <c r="E46" i="4" s="1"/>
  <c r="E47" i="4" s="1"/>
  <c r="E48" i="4" s="1"/>
  <c r="E49" i="4" s="1"/>
  <c r="E50" i="4" s="1"/>
  <c r="D35" i="4"/>
  <c r="D36" i="4" s="1"/>
  <c r="D37" i="4" s="1"/>
  <c r="D38" i="4" s="1"/>
  <c r="D39" i="4" s="1"/>
  <c r="D40" i="4" s="1"/>
  <c r="D41" i="4" s="1"/>
  <c r="D42" i="4" s="1"/>
  <c r="D43" i="4" s="1"/>
  <c r="D44" i="4" s="1"/>
  <c r="D45" i="4" s="1"/>
  <c r="D46" i="4" s="1"/>
  <c r="D47" i="4" s="1"/>
  <c r="D48" i="4" s="1"/>
  <c r="D49" i="4" s="1"/>
  <c r="D50" i="4" s="1"/>
  <c r="C34" i="4"/>
  <c r="C35" i="4" s="1"/>
  <c r="C36" i="4" s="1"/>
  <c r="C37" i="4" s="1"/>
  <c r="C38" i="4" s="1"/>
  <c r="C39" i="4" s="1"/>
  <c r="C40" i="4" s="1"/>
  <c r="C41" i="4" s="1"/>
  <c r="C42" i="4" s="1"/>
  <c r="C43" i="4" s="1"/>
  <c r="C44" i="4" s="1"/>
  <c r="C45" i="4" s="1"/>
  <c r="C46" i="4" s="1"/>
  <c r="C47" i="4" s="1"/>
  <c r="C48" i="4" s="1"/>
  <c r="C49" i="4" s="1"/>
  <c r="C50" i="4" s="1"/>
  <c r="B34" i="4"/>
  <c r="B35" i="4" s="1"/>
  <c r="B36" i="4" s="1"/>
  <c r="B37" i="4" s="1"/>
  <c r="B38" i="4" s="1"/>
  <c r="B39" i="4" s="1"/>
  <c r="B40" i="4" s="1"/>
  <c r="B41" i="4" s="1"/>
  <c r="B42" i="4" s="1"/>
  <c r="B43" i="4" s="1"/>
  <c r="B44" i="4" s="1"/>
  <c r="B45" i="4" s="1"/>
  <c r="B46" i="4" s="1"/>
  <c r="B47" i="4" s="1"/>
  <c r="B48" i="4" s="1"/>
  <c r="B49" i="4" s="1"/>
  <c r="B50" i="4" s="1"/>
  <c r="J41" i="1" l="1"/>
  <c r="J42" i="1" s="1"/>
  <c r="J43" i="1" s="1"/>
  <c r="J44" i="1" s="1"/>
  <c r="J45" i="1" s="1"/>
  <c r="J46" i="1" s="1"/>
  <c r="J47" i="1" s="1"/>
  <c r="J48" i="1" s="1"/>
  <c r="J49" i="1" s="1"/>
  <c r="J50" i="1" s="1"/>
  <c r="I40" i="1"/>
  <c r="I41" i="1" s="1"/>
  <c r="I42" i="1" s="1"/>
  <c r="I43" i="1" s="1"/>
  <c r="I44" i="1" s="1"/>
  <c r="I45" i="1" s="1"/>
  <c r="I46" i="1" s="1"/>
  <c r="I47" i="1" s="1"/>
  <c r="I48" i="1" s="1"/>
  <c r="I49" i="1" s="1"/>
  <c r="I50" i="1" s="1"/>
  <c r="H39" i="1"/>
  <c r="H40" i="1" s="1"/>
  <c r="H41" i="1" s="1"/>
  <c r="H42" i="1" s="1"/>
  <c r="H43" i="1" s="1"/>
  <c r="H44" i="1" s="1"/>
  <c r="H45" i="1" s="1"/>
  <c r="H46" i="1" s="1"/>
  <c r="H47" i="1" s="1"/>
  <c r="H48" i="1" s="1"/>
  <c r="H49" i="1" s="1"/>
  <c r="H50" i="1" s="1"/>
  <c r="G38" i="1"/>
  <c r="G39" i="1" s="1"/>
  <c r="G40" i="1" s="1"/>
  <c r="G41" i="1" s="1"/>
  <c r="G42" i="1" s="1"/>
  <c r="G43" i="1" s="1"/>
  <c r="G44" i="1" s="1"/>
  <c r="G45" i="1" s="1"/>
  <c r="G46" i="1" s="1"/>
  <c r="G47" i="1" s="1"/>
  <c r="G48" i="1" s="1"/>
  <c r="G49" i="1" s="1"/>
  <c r="G50" i="1" s="1"/>
  <c r="F37" i="1"/>
  <c r="F38" i="1" s="1"/>
  <c r="F39" i="1" s="1"/>
  <c r="E36" i="1"/>
  <c r="E37" i="1" s="1"/>
  <c r="E38" i="1" s="1"/>
  <c r="E39" i="1" s="1"/>
  <c r="D35" i="1"/>
  <c r="D36" i="1" s="1"/>
  <c r="D37" i="1" s="1"/>
  <c r="C34" i="1"/>
  <c r="C35" i="1" s="1"/>
  <c r="B34" i="1"/>
  <c r="B35" i="1" s="1"/>
  <c r="F40" i="1" l="1"/>
  <c r="E40" i="1"/>
  <c r="D38" i="1"/>
  <c r="C36" i="1"/>
  <c r="B36" i="1"/>
  <c r="B54" i="1"/>
  <c r="D6" i="1"/>
  <c r="E6" i="1"/>
  <c r="C40" i="5"/>
  <c r="D38" i="5" l="1"/>
  <c r="D37" i="5" s="1"/>
  <c r="D50" i="5"/>
  <c r="F41" i="1"/>
  <c r="E41" i="1"/>
  <c r="D39" i="1"/>
  <c r="C37" i="1"/>
  <c r="B37" i="1"/>
  <c r="C50" i="5" l="1"/>
  <c r="F42" i="1"/>
  <c r="E42" i="1"/>
  <c r="D40" i="1"/>
  <c r="C38" i="1"/>
  <c r="B38" i="1"/>
  <c r="C68" i="5" l="1"/>
  <c r="C42" i="5" s="1"/>
  <c r="D41" i="5"/>
  <c r="D68" i="5"/>
  <c r="D42" i="5" s="1"/>
  <c r="D43" i="5" s="1"/>
  <c r="D46" i="5" s="1"/>
  <c r="D77" i="5"/>
  <c r="D75" i="5" s="1"/>
  <c r="D76" i="5" s="1"/>
  <c r="F43" i="1"/>
  <c r="E43" i="1"/>
  <c r="D41" i="1"/>
  <c r="C39" i="1"/>
  <c r="B39" i="1"/>
  <c r="D78" i="5" l="1"/>
  <c r="F44" i="1"/>
  <c r="E44" i="1"/>
  <c r="D42" i="1"/>
  <c r="C40" i="1"/>
  <c r="B40" i="1"/>
  <c r="B54" i="4"/>
  <c r="B12" i="4"/>
  <c r="C70" i="5"/>
  <c r="C39" i="5" s="1"/>
  <c r="C37" i="5" s="1"/>
  <c r="D47" i="5" l="1"/>
  <c r="C47" i="5"/>
  <c r="D44" i="5"/>
  <c r="D45" i="5" s="1"/>
  <c r="D52" i="5"/>
  <c r="C43" i="5"/>
  <c r="C41" i="5"/>
  <c r="F45" i="1"/>
  <c r="E45" i="1"/>
  <c r="D43" i="1"/>
  <c r="C41" i="1"/>
  <c r="B41" i="1"/>
  <c r="A55" i="4"/>
  <c r="C53" i="4"/>
  <c r="C54" i="4" s="1"/>
  <c r="A34" i="4"/>
  <c r="C32" i="4"/>
  <c r="A13" i="4"/>
  <c r="C11" i="4"/>
  <c r="C12" i="4" s="1"/>
  <c r="D53" i="4" l="1"/>
  <c r="D54" i="4" s="1"/>
  <c r="D32" i="4"/>
  <c r="E32" i="4" s="1"/>
  <c r="E34" i="4" s="1"/>
  <c r="D33" i="4"/>
  <c r="F46" i="1"/>
  <c r="E46" i="1"/>
  <c r="D44" i="1"/>
  <c r="C42" i="1"/>
  <c r="B42" i="1"/>
  <c r="B55" i="4"/>
  <c r="C55" i="4"/>
  <c r="A56" i="4"/>
  <c r="B13" i="4"/>
  <c r="C13" i="4"/>
  <c r="A14" i="4"/>
  <c r="D11" i="4"/>
  <c r="A35" i="4"/>
  <c r="E53" i="4" l="1"/>
  <c r="E54" i="4" s="1"/>
  <c r="D12" i="4"/>
  <c r="D13" i="4"/>
  <c r="F32" i="4"/>
  <c r="F35" i="4" s="1"/>
  <c r="E33" i="4"/>
  <c r="F47" i="1"/>
  <c r="E47" i="1"/>
  <c r="D45" i="1"/>
  <c r="C43" i="1"/>
  <c r="B43" i="1"/>
  <c r="A57" i="4"/>
  <c r="C56" i="4"/>
  <c r="B56" i="4"/>
  <c r="A15" i="4"/>
  <c r="D14" i="4"/>
  <c r="B14" i="4"/>
  <c r="C14" i="4"/>
  <c r="A36" i="4"/>
  <c r="E11" i="4"/>
  <c r="E14" i="4" s="1"/>
  <c r="C53" i="1"/>
  <c r="A55" i="1"/>
  <c r="B55" i="1" s="1"/>
  <c r="F53" i="4" l="1"/>
  <c r="F54" i="4" s="1"/>
  <c r="E12" i="4"/>
  <c r="E13" i="4"/>
  <c r="F33" i="4"/>
  <c r="F34" i="4"/>
  <c r="G32" i="4"/>
  <c r="C55" i="1"/>
  <c r="C54" i="1"/>
  <c r="F48" i="1"/>
  <c r="E48" i="1"/>
  <c r="D46" i="1"/>
  <c r="C44" i="1"/>
  <c r="B44" i="1"/>
  <c r="B57" i="4"/>
  <c r="C57" i="4"/>
  <c r="A58" i="4"/>
  <c r="C15" i="4"/>
  <c r="D15" i="4"/>
  <c r="B15" i="4"/>
  <c r="E15" i="4"/>
  <c r="A16" i="4"/>
  <c r="G36" i="4"/>
  <c r="A56" i="1"/>
  <c r="F11" i="4"/>
  <c r="A37" i="4"/>
  <c r="D53" i="1"/>
  <c r="B56" i="1" l="1"/>
  <c r="A57" i="1"/>
  <c r="B57" i="1" s="1"/>
  <c r="C56" i="1"/>
  <c r="G53" i="4"/>
  <c r="G54" i="4" s="1"/>
  <c r="D55" i="1"/>
  <c r="D54" i="1"/>
  <c r="D56" i="1"/>
  <c r="F12" i="4"/>
  <c r="F13" i="4"/>
  <c r="F14" i="4"/>
  <c r="F15" i="4"/>
  <c r="G33" i="4"/>
  <c r="G34" i="4"/>
  <c r="H32" i="4"/>
  <c r="G35" i="4"/>
  <c r="F49" i="1"/>
  <c r="E49" i="1"/>
  <c r="D47" i="1"/>
  <c r="C45" i="1"/>
  <c r="B45" i="1"/>
  <c r="B58" i="4"/>
  <c r="C58" i="4"/>
  <c r="A59" i="4"/>
  <c r="D16" i="4"/>
  <c r="B16" i="4"/>
  <c r="C16" i="4"/>
  <c r="E16" i="4"/>
  <c r="F16" i="4"/>
  <c r="A17" i="4"/>
  <c r="H37" i="4"/>
  <c r="A38" i="4"/>
  <c r="H53" i="4"/>
  <c r="G11" i="4"/>
  <c r="G16" i="4" s="1"/>
  <c r="E53" i="1"/>
  <c r="C32" i="1"/>
  <c r="A34" i="1"/>
  <c r="D57" i="1" l="1"/>
  <c r="A58" i="1"/>
  <c r="D58" i="1" s="1"/>
  <c r="C57" i="1"/>
  <c r="H33" i="4"/>
  <c r="H34" i="4"/>
  <c r="H35" i="4"/>
  <c r="I32" i="4"/>
  <c r="I38" i="4" s="1"/>
  <c r="H36" i="4"/>
  <c r="E54" i="1"/>
  <c r="E56" i="1"/>
  <c r="E55" i="1"/>
  <c r="E57" i="1"/>
  <c r="G12" i="4"/>
  <c r="G13" i="4"/>
  <c r="G14" i="4"/>
  <c r="G15" i="4"/>
  <c r="F50" i="1"/>
  <c r="E50" i="1"/>
  <c r="D48" i="1"/>
  <c r="C46" i="1"/>
  <c r="B46" i="1"/>
  <c r="C59" i="4"/>
  <c r="B59" i="4"/>
  <c r="A60" i="4"/>
  <c r="F17" i="4"/>
  <c r="E17" i="4"/>
  <c r="G17" i="4"/>
  <c r="D17" i="4"/>
  <c r="C17" i="4"/>
  <c r="B17" i="4"/>
  <c r="H17" i="4"/>
  <c r="A18" i="4"/>
  <c r="I53" i="4"/>
  <c r="H11" i="4"/>
  <c r="A39" i="4"/>
  <c r="D32" i="1"/>
  <c r="D33" i="1" s="1"/>
  <c r="F53" i="1"/>
  <c r="A35" i="1"/>
  <c r="A13" i="1"/>
  <c r="B13" i="1" s="1"/>
  <c r="C11" i="1"/>
  <c r="C58" i="1" l="1"/>
  <c r="A59" i="1"/>
  <c r="E59" i="1" s="1"/>
  <c r="B58" i="1"/>
  <c r="E58" i="1"/>
  <c r="C13" i="1"/>
  <c r="C12" i="1"/>
  <c r="F54" i="1"/>
  <c r="F56" i="1"/>
  <c r="F58" i="1"/>
  <c r="F55" i="1"/>
  <c r="F57" i="1"/>
  <c r="I33" i="4"/>
  <c r="I34" i="4"/>
  <c r="I35" i="4"/>
  <c r="I36" i="4"/>
  <c r="I37" i="4"/>
  <c r="J32" i="4"/>
  <c r="H12" i="4"/>
  <c r="H13" i="4"/>
  <c r="H14" i="4"/>
  <c r="H15" i="4"/>
  <c r="H16" i="4"/>
  <c r="D49" i="1"/>
  <c r="C47" i="1"/>
  <c r="B47" i="1"/>
  <c r="C60" i="4"/>
  <c r="B60" i="4"/>
  <c r="A61" i="4"/>
  <c r="B18" i="4"/>
  <c r="H18" i="4"/>
  <c r="F18" i="4"/>
  <c r="D18" i="4"/>
  <c r="E18" i="4"/>
  <c r="C18" i="4"/>
  <c r="G18" i="4"/>
  <c r="A19" i="4"/>
  <c r="J39" i="4"/>
  <c r="I11" i="4"/>
  <c r="A40" i="4"/>
  <c r="J53" i="4"/>
  <c r="A14" i="1"/>
  <c r="A36" i="1"/>
  <c r="G53" i="1"/>
  <c r="E32" i="1"/>
  <c r="D11" i="1"/>
  <c r="D59" i="1" l="1"/>
  <c r="C59" i="1"/>
  <c r="F59" i="1"/>
  <c r="A60" i="1"/>
  <c r="F60" i="1" s="1"/>
  <c r="B59" i="1"/>
  <c r="D12" i="1"/>
  <c r="D13" i="1"/>
  <c r="B14" i="1"/>
  <c r="D14" i="1"/>
  <c r="C14" i="1"/>
  <c r="G54" i="1"/>
  <c r="G56" i="1"/>
  <c r="G58" i="1"/>
  <c r="G55" i="1"/>
  <c r="G57" i="1"/>
  <c r="G59" i="1"/>
  <c r="E33" i="1"/>
  <c r="E34" i="1"/>
  <c r="J33" i="4"/>
  <c r="J34" i="4"/>
  <c r="J35" i="4"/>
  <c r="J36" i="4"/>
  <c r="J37" i="4"/>
  <c r="K32" i="4"/>
  <c r="J38" i="4"/>
  <c r="D50" i="1"/>
  <c r="C48" i="1"/>
  <c r="B48" i="1"/>
  <c r="B61" i="4"/>
  <c r="C61" i="4"/>
  <c r="A62" i="4"/>
  <c r="C19" i="4"/>
  <c r="G19" i="4"/>
  <c r="H19" i="4"/>
  <c r="F19" i="4"/>
  <c r="E19" i="4"/>
  <c r="D19" i="4"/>
  <c r="B19" i="4"/>
  <c r="A20" i="4"/>
  <c r="K40" i="4"/>
  <c r="A15" i="1"/>
  <c r="A41" i="4"/>
  <c r="J11" i="4"/>
  <c r="K53" i="4"/>
  <c r="A37" i="1"/>
  <c r="F32" i="1"/>
  <c r="A61" i="1"/>
  <c r="G61" i="1" s="1"/>
  <c r="H53" i="1"/>
  <c r="E11" i="1"/>
  <c r="E14" i="1" s="1"/>
  <c r="B60" i="1" l="1"/>
  <c r="E60" i="1"/>
  <c r="G60" i="1"/>
  <c r="D60" i="1"/>
  <c r="C60" i="1"/>
  <c r="E12" i="1"/>
  <c r="E13" i="1"/>
  <c r="D15" i="1"/>
  <c r="C15" i="1"/>
  <c r="B15" i="1"/>
  <c r="E15" i="1"/>
  <c r="H54" i="1"/>
  <c r="H56" i="1"/>
  <c r="H58" i="1"/>
  <c r="H60" i="1"/>
  <c r="H55" i="1"/>
  <c r="H57" i="1"/>
  <c r="H59" i="1"/>
  <c r="H61" i="1"/>
  <c r="F33" i="1"/>
  <c r="F34" i="1"/>
  <c r="F35" i="1"/>
  <c r="K33" i="4"/>
  <c r="K34" i="4"/>
  <c r="K35" i="4"/>
  <c r="K36" i="4"/>
  <c r="K37" i="4"/>
  <c r="K38" i="4"/>
  <c r="K39" i="4"/>
  <c r="L32" i="4"/>
  <c r="L41" i="4" s="1"/>
  <c r="B61" i="1"/>
  <c r="C61" i="1"/>
  <c r="D61" i="1"/>
  <c r="E61" i="1"/>
  <c r="F61" i="1"/>
  <c r="C49" i="1"/>
  <c r="B49" i="1"/>
  <c r="C62" i="4"/>
  <c r="D62" i="4"/>
  <c r="G62" i="4"/>
  <c r="F62" i="4"/>
  <c r="E62" i="4"/>
  <c r="B62" i="4"/>
  <c r="A63" i="4"/>
  <c r="D20" i="4"/>
  <c r="H20" i="4"/>
  <c r="F20" i="4"/>
  <c r="G20" i="4"/>
  <c r="B20" i="4"/>
  <c r="E20" i="4"/>
  <c r="C20" i="4"/>
  <c r="A21" i="4"/>
  <c r="A16" i="1"/>
  <c r="L53" i="4"/>
  <c r="K11" i="4"/>
  <c r="A42" i="4"/>
  <c r="A62" i="1"/>
  <c r="I53" i="1"/>
  <c r="G32" i="1"/>
  <c r="A38" i="1"/>
  <c r="F11" i="1"/>
  <c r="F13" i="1" l="1"/>
  <c r="F12" i="1"/>
  <c r="F14" i="1"/>
  <c r="F15" i="1"/>
  <c r="E16" i="1"/>
  <c r="B16" i="1"/>
  <c r="F16" i="1"/>
  <c r="D16" i="1"/>
  <c r="C16" i="1"/>
  <c r="L33" i="4"/>
  <c r="L34" i="4"/>
  <c r="L35" i="4"/>
  <c r="L36" i="4"/>
  <c r="L37" i="4"/>
  <c r="L38" i="4"/>
  <c r="L39" i="4"/>
  <c r="M32" i="4"/>
  <c r="M42" i="4" s="1"/>
  <c r="L40" i="4"/>
  <c r="A17" i="1"/>
  <c r="G33" i="1"/>
  <c r="G34" i="1"/>
  <c r="G35" i="1"/>
  <c r="G36" i="1"/>
  <c r="I55" i="1"/>
  <c r="I57" i="1"/>
  <c r="I59" i="1"/>
  <c r="I61" i="1"/>
  <c r="I54" i="1"/>
  <c r="I56" i="1"/>
  <c r="I58" i="1"/>
  <c r="I60" i="1"/>
  <c r="I62" i="1"/>
  <c r="B62" i="1"/>
  <c r="C62" i="1"/>
  <c r="D62" i="1"/>
  <c r="E62" i="1"/>
  <c r="F62" i="1"/>
  <c r="G62" i="1"/>
  <c r="C50" i="1"/>
  <c r="B50" i="1"/>
  <c r="F63" i="4"/>
  <c r="E63" i="4"/>
  <c r="B63" i="4"/>
  <c r="G63" i="4"/>
  <c r="D63" i="4"/>
  <c r="C63" i="4"/>
  <c r="A64" i="4"/>
  <c r="E21" i="4"/>
  <c r="G21" i="4"/>
  <c r="H21" i="4"/>
  <c r="B21" i="4"/>
  <c r="F21" i="4"/>
  <c r="D21" i="4"/>
  <c r="C21" i="4"/>
  <c r="A22" i="4"/>
  <c r="L11" i="4"/>
  <c r="M53" i="4"/>
  <c r="A43" i="4"/>
  <c r="J53" i="1"/>
  <c r="A39" i="1"/>
  <c r="H32" i="1"/>
  <c r="A63" i="1"/>
  <c r="G11" i="1"/>
  <c r="G13" i="1" l="1"/>
  <c r="G12" i="1"/>
  <c r="G14" i="1"/>
  <c r="G15" i="1"/>
  <c r="G16" i="1"/>
  <c r="E17" i="1"/>
  <c r="F17" i="1"/>
  <c r="G17" i="1"/>
  <c r="D17" i="1"/>
  <c r="C17" i="1"/>
  <c r="B17" i="1"/>
  <c r="A18" i="1"/>
  <c r="A19" i="1" s="1"/>
  <c r="M33" i="4"/>
  <c r="M34" i="4"/>
  <c r="M35" i="4"/>
  <c r="M36" i="4"/>
  <c r="M37" i="4"/>
  <c r="M38" i="4"/>
  <c r="M39" i="4"/>
  <c r="M40" i="4"/>
  <c r="M41" i="4"/>
  <c r="B63" i="1"/>
  <c r="C63" i="1"/>
  <c r="D63" i="1"/>
  <c r="E63" i="1"/>
  <c r="F63" i="1"/>
  <c r="G63" i="1"/>
  <c r="H63" i="1"/>
  <c r="I63" i="1"/>
  <c r="H33" i="1"/>
  <c r="H34" i="1"/>
  <c r="H35" i="1"/>
  <c r="H36" i="1"/>
  <c r="H37" i="1"/>
  <c r="J58" i="1"/>
  <c r="J55" i="1"/>
  <c r="J57" i="1"/>
  <c r="J59" i="1"/>
  <c r="J61" i="1"/>
  <c r="J63" i="1"/>
  <c r="J60" i="1"/>
  <c r="J62" i="1"/>
  <c r="J54" i="1"/>
  <c r="J56" i="1"/>
  <c r="C64" i="4"/>
  <c r="F64" i="4"/>
  <c r="E64" i="4"/>
  <c r="B64" i="4"/>
  <c r="G64" i="4"/>
  <c r="D64" i="4"/>
  <c r="A65" i="4"/>
  <c r="F22" i="4"/>
  <c r="C22" i="4"/>
  <c r="B22" i="4"/>
  <c r="H22" i="4"/>
  <c r="D22" i="4"/>
  <c r="G22" i="4"/>
  <c r="E22" i="4"/>
  <c r="A23" i="4"/>
  <c r="M43" i="4"/>
  <c r="A44" i="4"/>
  <c r="M11" i="4"/>
  <c r="A40" i="1"/>
  <c r="I32" i="1"/>
  <c r="A64" i="1"/>
  <c r="J64" i="1" s="1"/>
  <c r="K53" i="1"/>
  <c r="H11" i="1"/>
  <c r="H12" i="1" l="1"/>
  <c r="H13" i="1"/>
  <c r="H14" i="1"/>
  <c r="H15" i="1"/>
  <c r="H16" i="1"/>
  <c r="H17" i="1"/>
  <c r="C19" i="1"/>
  <c r="B19" i="1"/>
  <c r="H19" i="1"/>
  <c r="G19" i="1"/>
  <c r="F19" i="1"/>
  <c r="E19" i="1"/>
  <c r="D19" i="1"/>
  <c r="E18" i="1"/>
  <c r="H18" i="1"/>
  <c r="D18" i="1"/>
  <c r="C18" i="1"/>
  <c r="B18" i="1"/>
  <c r="G18" i="1"/>
  <c r="F18" i="1"/>
  <c r="D48" i="5"/>
  <c r="D53" i="5"/>
  <c r="D51" i="5"/>
  <c r="I33" i="1"/>
  <c r="I34" i="1"/>
  <c r="I35" i="1"/>
  <c r="I36" i="1"/>
  <c r="I37" i="1"/>
  <c r="I38" i="1"/>
  <c r="B64" i="1"/>
  <c r="C64" i="1"/>
  <c r="D64" i="1"/>
  <c r="E64" i="1"/>
  <c r="F64" i="1"/>
  <c r="G64" i="1"/>
  <c r="H64" i="1"/>
  <c r="I64" i="1"/>
  <c r="K55" i="1"/>
  <c r="K57" i="1"/>
  <c r="K59" i="1"/>
  <c r="K61" i="1"/>
  <c r="K63" i="1"/>
  <c r="K54" i="1"/>
  <c r="K56" i="1"/>
  <c r="K58" i="1"/>
  <c r="K60" i="1"/>
  <c r="K62" i="1"/>
  <c r="K64" i="1"/>
  <c r="F65" i="4"/>
  <c r="B65" i="4"/>
  <c r="E65" i="4"/>
  <c r="D65" i="4"/>
  <c r="G65" i="4"/>
  <c r="C65" i="4"/>
  <c r="G23" i="4"/>
  <c r="C23" i="4"/>
  <c r="B23" i="4"/>
  <c r="E23" i="4"/>
  <c r="H23" i="4"/>
  <c r="F23" i="4"/>
  <c r="D23" i="4"/>
  <c r="A24" i="4"/>
  <c r="M44" i="4"/>
  <c r="A45" i="4"/>
  <c r="J32" i="1"/>
  <c r="L53" i="1"/>
  <c r="A65" i="1"/>
  <c r="A41" i="1"/>
  <c r="I11" i="1"/>
  <c r="I18" i="1" s="1"/>
  <c r="A20" i="1"/>
  <c r="I19" i="1" l="1"/>
  <c r="I13" i="1"/>
  <c r="I12" i="1"/>
  <c r="I14" i="1"/>
  <c r="I15" i="1"/>
  <c r="I16" i="1"/>
  <c r="I17" i="1"/>
  <c r="E20" i="1"/>
  <c r="B20" i="1"/>
  <c r="G20" i="1"/>
  <c r="F20" i="1"/>
  <c r="D20" i="1"/>
  <c r="C20" i="1"/>
  <c r="I20" i="1"/>
  <c r="H20" i="1"/>
  <c r="L55" i="1"/>
  <c r="L57" i="1"/>
  <c r="L59" i="1"/>
  <c r="L61" i="1"/>
  <c r="L63" i="1"/>
  <c r="L65" i="1"/>
  <c r="L54" i="1"/>
  <c r="L56" i="1"/>
  <c r="L58" i="1"/>
  <c r="L60" i="1"/>
  <c r="L62" i="1"/>
  <c r="L64" i="1"/>
  <c r="J33" i="1"/>
  <c r="J34" i="1"/>
  <c r="J35" i="1"/>
  <c r="J36" i="1"/>
  <c r="J37" i="1"/>
  <c r="J38" i="1"/>
  <c r="J39" i="1"/>
  <c r="B65" i="1"/>
  <c r="C65" i="1"/>
  <c r="D65" i="1"/>
  <c r="E65" i="1"/>
  <c r="F65" i="1"/>
  <c r="G65" i="1"/>
  <c r="H65" i="1"/>
  <c r="I65" i="1"/>
  <c r="J65" i="1"/>
  <c r="K65" i="1"/>
  <c r="H24" i="4"/>
  <c r="F24" i="4"/>
  <c r="D24" i="4"/>
  <c r="C24" i="4"/>
  <c r="B24" i="4"/>
  <c r="E24" i="4"/>
  <c r="G24" i="4"/>
  <c r="A25" i="4"/>
  <c r="M45" i="4"/>
  <c r="A46" i="4"/>
  <c r="K32" i="1"/>
  <c r="M53" i="1"/>
  <c r="A42" i="1"/>
  <c r="A21" i="1"/>
  <c r="J11" i="1"/>
  <c r="J20" i="1" s="1"/>
  <c r="J12" i="1" l="1"/>
  <c r="J13" i="1"/>
  <c r="J14" i="1"/>
  <c r="J15" i="1"/>
  <c r="J16" i="1"/>
  <c r="J17" i="1"/>
  <c r="J19" i="1"/>
  <c r="J18" i="1"/>
  <c r="I21" i="1"/>
  <c r="E21" i="1"/>
  <c r="C21" i="1"/>
  <c r="J21" i="1"/>
  <c r="H21" i="1"/>
  <c r="D21" i="1"/>
  <c r="G21" i="1"/>
  <c r="F21" i="1"/>
  <c r="B21" i="1"/>
  <c r="M54" i="1"/>
  <c r="M56" i="1"/>
  <c r="M58" i="1"/>
  <c r="M60" i="1"/>
  <c r="M62" i="1"/>
  <c r="M64" i="1"/>
  <c r="M55" i="1"/>
  <c r="M57" i="1"/>
  <c r="M59" i="1"/>
  <c r="M61" i="1"/>
  <c r="M63" i="1"/>
  <c r="M65" i="1"/>
  <c r="K33" i="1"/>
  <c r="K34" i="1"/>
  <c r="K35" i="1"/>
  <c r="K36" i="1"/>
  <c r="K37" i="1"/>
  <c r="K38" i="1"/>
  <c r="K39" i="1"/>
  <c r="K40" i="1"/>
  <c r="E25" i="4"/>
  <c r="C25" i="4"/>
  <c r="F25" i="4"/>
  <c r="D25" i="4"/>
  <c r="B25" i="4"/>
  <c r="H25" i="4"/>
  <c r="G25" i="4"/>
  <c r="A26" i="4"/>
  <c r="M46" i="4"/>
  <c r="A47" i="4"/>
  <c r="A43" i="1"/>
  <c r="L32" i="1"/>
  <c r="K11" i="1"/>
  <c r="A22" i="1"/>
  <c r="K12" i="1" l="1"/>
  <c r="K13" i="1"/>
  <c r="K14" i="1"/>
  <c r="K15" i="1"/>
  <c r="K16" i="1"/>
  <c r="K17" i="1"/>
  <c r="K19" i="1"/>
  <c r="K18" i="1"/>
  <c r="K20" i="1"/>
  <c r="K21" i="1"/>
  <c r="E22" i="1"/>
  <c r="B22" i="1"/>
  <c r="I22" i="1"/>
  <c r="H22" i="1"/>
  <c r="G22" i="1"/>
  <c r="D22" i="1"/>
  <c r="K22" i="1"/>
  <c r="C22" i="1"/>
  <c r="J22" i="1"/>
  <c r="F22" i="1"/>
  <c r="L11" i="1"/>
  <c r="L33" i="1"/>
  <c r="L34" i="1"/>
  <c r="L35" i="1"/>
  <c r="L36" i="1"/>
  <c r="L37" i="1"/>
  <c r="L38" i="1"/>
  <c r="L39" i="1"/>
  <c r="L40" i="1"/>
  <c r="L41" i="1"/>
  <c r="B26" i="4"/>
  <c r="G26" i="4"/>
  <c r="I26" i="4"/>
  <c r="F26" i="4"/>
  <c r="D26" i="4"/>
  <c r="H26" i="4"/>
  <c r="E26" i="4"/>
  <c r="C26" i="4"/>
  <c r="A27" i="4"/>
  <c r="M47" i="4"/>
  <c r="A48" i="4"/>
  <c r="M32" i="1"/>
  <c r="A44" i="1"/>
  <c r="A23" i="1"/>
  <c r="L13" i="1" l="1"/>
  <c r="L12" i="1"/>
  <c r="L14" i="1"/>
  <c r="L15" i="1"/>
  <c r="L16" i="1"/>
  <c r="L17" i="1"/>
  <c r="L19" i="1"/>
  <c r="L18" i="1"/>
  <c r="L20" i="1"/>
  <c r="L21" i="1"/>
  <c r="M11" i="1"/>
  <c r="M23" i="1" s="1"/>
  <c r="L22" i="1"/>
  <c r="I23" i="1"/>
  <c r="F23" i="1"/>
  <c r="L23" i="1"/>
  <c r="K23" i="1"/>
  <c r="B23" i="1"/>
  <c r="H23" i="1"/>
  <c r="E23" i="1"/>
  <c r="G23" i="1"/>
  <c r="D23" i="1"/>
  <c r="C23" i="1"/>
  <c r="J23" i="1"/>
  <c r="M33" i="1"/>
  <c r="M34" i="1"/>
  <c r="M35" i="1"/>
  <c r="M36" i="1"/>
  <c r="M37" i="1"/>
  <c r="M38" i="1"/>
  <c r="M39" i="1"/>
  <c r="M40" i="1"/>
  <c r="M41" i="1"/>
  <c r="M42" i="1"/>
  <c r="C27" i="4"/>
  <c r="J27" i="4"/>
  <c r="I27" i="4"/>
  <c r="G27" i="4"/>
  <c r="F27" i="4"/>
  <c r="E27" i="4"/>
  <c r="D27" i="4"/>
  <c r="B27" i="4"/>
  <c r="H27" i="4"/>
  <c r="A28" i="4"/>
  <c r="M48" i="4"/>
  <c r="A49" i="4"/>
  <c r="A45" i="1"/>
  <c r="A24" i="1"/>
  <c r="M12" i="1" l="1"/>
  <c r="M13" i="1"/>
  <c r="M14" i="1"/>
  <c r="M15" i="1"/>
  <c r="M16" i="1"/>
  <c r="M17" i="1"/>
  <c r="M18" i="1"/>
  <c r="M19" i="1"/>
  <c r="M20" i="1"/>
  <c r="M21" i="1"/>
  <c r="M22" i="1"/>
  <c r="M24" i="1"/>
  <c r="E24" i="1"/>
  <c r="I24" i="1"/>
  <c r="F24" i="1"/>
  <c r="L24" i="1"/>
  <c r="D24" i="1"/>
  <c r="B24" i="1"/>
  <c r="H24" i="1"/>
  <c r="K24" i="1"/>
  <c r="C24" i="1"/>
  <c r="J24" i="1"/>
  <c r="G24" i="1"/>
  <c r="J28" i="4"/>
  <c r="D28" i="4"/>
  <c r="H28" i="4"/>
  <c r="F28" i="4"/>
  <c r="G28" i="4"/>
  <c r="B28" i="4"/>
  <c r="K28" i="4"/>
  <c r="E28" i="4"/>
  <c r="I28" i="4"/>
  <c r="C28" i="4"/>
  <c r="A29" i="4"/>
  <c r="M49" i="4"/>
  <c r="A50" i="4"/>
  <c r="A46" i="1"/>
  <c r="A25" i="1"/>
  <c r="I25" i="1" l="1"/>
  <c r="F25" i="1"/>
  <c r="M25" i="1"/>
  <c r="L25" i="1"/>
  <c r="C25" i="1"/>
  <c r="J25" i="1"/>
  <c r="H25" i="1"/>
  <c r="G25" i="1"/>
  <c r="E25" i="1"/>
  <c r="D25" i="1"/>
  <c r="K25" i="1"/>
  <c r="B25" i="1"/>
  <c r="E29" i="4"/>
  <c r="K29" i="4"/>
  <c r="G29" i="4"/>
  <c r="L29" i="4"/>
  <c r="J29" i="4"/>
  <c r="H29" i="4"/>
  <c r="I29" i="4"/>
  <c r="B29" i="4"/>
  <c r="F29" i="4"/>
  <c r="D29" i="4"/>
  <c r="C29" i="4"/>
  <c r="M50" i="4"/>
  <c r="A47" i="1"/>
  <c r="A26" i="1"/>
  <c r="M26" i="1" l="1"/>
  <c r="E26" i="1"/>
  <c r="J26" i="1"/>
  <c r="I26" i="1"/>
  <c r="G26" i="1"/>
  <c r="L26" i="1"/>
  <c r="D26" i="1"/>
  <c r="B26" i="1"/>
  <c r="K26" i="1"/>
  <c r="C26" i="1"/>
  <c r="H26" i="1"/>
  <c r="F26" i="1"/>
  <c r="A48" i="1"/>
  <c r="A27" i="1"/>
  <c r="I27" i="1" l="1"/>
  <c r="M27" i="1"/>
  <c r="D27" i="1"/>
  <c r="K27" i="1"/>
  <c r="J27" i="1"/>
  <c r="H27" i="1"/>
  <c r="G27" i="1"/>
  <c r="F27" i="1"/>
  <c r="E27" i="1"/>
  <c r="L27" i="1"/>
  <c r="C27" i="1"/>
  <c r="B27" i="1"/>
  <c r="A49" i="1"/>
  <c r="A28" i="1"/>
  <c r="M28" i="1" l="1"/>
  <c r="E28" i="1"/>
  <c r="J28" i="1"/>
  <c r="H28" i="1"/>
  <c r="L28" i="1"/>
  <c r="D28" i="1"/>
  <c r="B28" i="1"/>
  <c r="I28" i="1"/>
  <c r="K28" i="1"/>
  <c r="C28" i="1"/>
  <c r="G28" i="1"/>
  <c r="F28" i="1"/>
  <c r="A50" i="1"/>
  <c r="A29" i="1"/>
  <c r="C77" i="5"/>
  <c r="I29" i="1" l="1"/>
  <c r="E29" i="1"/>
  <c r="C29" i="1"/>
  <c r="H29" i="1"/>
  <c r="D29" i="1"/>
  <c r="G29" i="1"/>
  <c r="F29" i="1"/>
  <c r="M29" i="1"/>
  <c r="L29" i="1"/>
  <c r="K29" i="1"/>
  <c r="J29" i="1"/>
  <c r="B29" i="1"/>
  <c r="C75" i="5"/>
  <c r="C76" i="5" s="1"/>
  <c r="C78" i="5" l="1"/>
  <c r="K37" i="5" s="1"/>
  <c r="C44" i="5"/>
  <c r="C45" i="5" s="1"/>
  <c r="C52" i="5"/>
  <c r="C46" i="5"/>
  <c r="C48" i="5" l="1"/>
  <c r="C53" i="5"/>
  <c r="C51" i="5"/>
  <c r="H43" i="5" l="1"/>
  <c r="Q40" i="5"/>
  <c r="O43" i="5" s="1"/>
</calcChain>
</file>

<file path=xl/sharedStrings.xml><?xml version="1.0" encoding="utf-8"?>
<sst xmlns="http://schemas.openxmlformats.org/spreadsheetml/2006/main" count="304" uniqueCount="200">
  <si>
    <t>Heating Capacity Range (kW)</t>
  </si>
  <si>
    <t>Min</t>
  </si>
  <si>
    <t>Max</t>
  </si>
  <si>
    <t>Heat Sink Out Temperature</t>
  </si>
  <si>
    <t>Heat Source In Temperature</t>
  </si>
  <si>
    <t xml:space="preserve">Heat Sink Out Temperature Range (C) </t>
  </si>
  <si>
    <t>Cost of heat pump ($/kW heat)</t>
  </si>
  <si>
    <t>Location</t>
  </si>
  <si>
    <t xml:space="preserve">Heat Source In Temperature Range (C) </t>
  </si>
  <si>
    <t>Heat Source Out Temperature</t>
  </si>
  <si>
    <t>Heat Sink Out Temperature Max (°C)</t>
  </si>
  <si>
    <t>65 to 90</t>
  </si>
  <si>
    <t>Heat source in temperature range (°C)</t>
  </si>
  <si>
    <t>-5 to 37</t>
  </si>
  <si>
    <t>Heating (water to water)</t>
  </si>
  <si>
    <t>COP Tables</t>
  </si>
  <si>
    <t>Cooling (water to water)</t>
  </si>
  <si>
    <t>Heating (air to water)</t>
  </si>
  <si>
    <t>Heat sink out temperature</t>
  </si>
  <si>
    <t>Heat source out temperature</t>
  </si>
  <si>
    <t>Heat source</t>
  </si>
  <si>
    <t>Data Validation</t>
  </si>
  <si>
    <t>Air</t>
  </si>
  <si>
    <t>Water</t>
  </si>
  <si>
    <t>Sydney</t>
  </si>
  <si>
    <t>Melbourne</t>
  </si>
  <si>
    <t>Perth</t>
  </si>
  <si>
    <t>Brisbane</t>
  </si>
  <si>
    <t>Adelaide</t>
  </si>
  <si>
    <t>Hobart</t>
  </si>
  <si>
    <t>Darwin</t>
  </si>
  <si>
    <t>Canberra</t>
  </si>
  <si>
    <t>COP (heating)</t>
  </si>
  <si>
    <t>COP (cooling)</t>
  </si>
  <si>
    <t>Recent Advances in Transcritical CO2 (R744) Heat Pump System: A Review</t>
  </si>
  <si>
    <t>https://www.automaticheating.com.au/solutions/co2-heat-pump-hot-water-heating-solutions/</t>
  </si>
  <si>
    <t>http://www.r744.com/files/pdf_672.pdf</t>
  </si>
  <si>
    <t>https://www.laros.com.au/wp-content/uploads/2016/03/LAROS-SANDEN-Laboratory-Assessment-Sanden-Heat-Pump.pdf</t>
  </si>
  <si>
    <t>https://www.sandenwaterheater.com/sanden/assets/File/Sanden_sanc02_technical-info_10-2017_4.pdf</t>
  </si>
  <si>
    <t>Current electricity cost ($/kWh)</t>
  </si>
  <si>
    <t>R717</t>
  </si>
  <si>
    <t>R744</t>
  </si>
  <si>
    <t>Ground water temperature</t>
  </si>
  <si>
    <t xml:space="preserve">Mean max temp (C) </t>
  </si>
  <si>
    <t>Annual heating energy use (MJ)</t>
  </si>
  <si>
    <t>Ground Water</t>
  </si>
  <si>
    <t>Heating utilization</t>
  </si>
  <si>
    <t>Outputs</t>
  </si>
  <si>
    <t>Simple Payback (years)</t>
  </si>
  <si>
    <t>Ammonia (R717)</t>
  </si>
  <si>
    <t>CO2 (R744)</t>
  </si>
  <si>
    <t>Manual Inputs (Basic)</t>
  </si>
  <si>
    <t>Manual Inputs (Advanced)</t>
  </si>
  <si>
    <t>Average heat required (kW)</t>
  </si>
  <si>
    <t>Annual Process Heating Cost ($ p.a.)</t>
  </si>
  <si>
    <t>Capex Check</t>
  </si>
  <si>
    <t>Cooling Check</t>
  </si>
  <si>
    <t>YES</t>
  </si>
  <si>
    <t>NO</t>
  </si>
  <si>
    <t>Is cooling usable?</t>
  </si>
  <si>
    <t>Volume (m3)</t>
  </si>
  <si>
    <t>https://www.diva-portal.org/smash/get/diva2:956741/FULLTEXT01.pdf</t>
  </si>
  <si>
    <t>Thermal capacity (kwh/m3)</t>
  </si>
  <si>
    <t>Current system efficiency</t>
  </si>
  <si>
    <t>Storage size (kWh)</t>
  </si>
  <si>
    <t>Capex of Thermal Storage</t>
  </si>
  <si>
    <t>Other operating costs of current system ($ p.a.)</t>
  </si>
  <si>
    <t>Capital cost of current heating system ($)</t>
  </si>
  <si>
    <t>Opex (Maintenance and Energy)</t>
  </si>
  <si>
    <t>Portion of energy use of heat pumps from solar (%)</t>
  </si>
  <si>
    <t>Sensible Heat Storage (Euro/kWh)</t>
  </si>
  <si>
    <t>Phase Change Storage (Euro/kWh)</t>
  </si>
  <si>
    <t>AVERAGE (with contingency of 1.5)</t>
  </si>
  <si>
    <t>PV Cost of electricity ($/kWh)</t>
  </si>
  <si>
    <t>Heat pump size required (kW thermal)</t>
  </si>
  <si>
    <t>Maximum cooling power (kW)</t>
  </si>
  <si>
    <t>Process Hours of Use p.a.</t>
  </si>
  <si>
    <t>OR</t>
  </si>
  <si>
    <t>Maintenance costs (% of capex)</t>
  </si>
  <si>
    <t>Current heating fuel cost ($/GJ)</t>
  </si>
  <si>
    <t>Lowest temp</t>
  </si>
  <si>
    <t>Highest temp</t>
  </si>
  <si>
    <t xml:space="preserve">Heat source air temperature (C) </t>
  </si>
  <si>
    <t>Utilisation rate check</t>
  </si>
  <si>
    <t>Sizing check 2 (utilisation)</t>
  </si>
  <si>
    <t>Sizing check 1 (equipment)</t>
  </si>
  <si>
    <t>Required storage recharge time (hr/day)</t>
  </si>
  <si>
    <t>NPV over 10 years</t>
  </si>
  <si>
    <t>Current system rated life (yr)</t>
  </si>
  <si>
    <t>Capex</t>
  </si>
  <si>
    <t>Source</t>
  </si>
  <si>
    <t>AUD</t>
  </si>
  <si>
    <t>Current LCOE of heating energy delivered ($/kWh)</t>
  </si>
  <si>
    <t>Current heating system efficiency (%)</t>
  </si>
  <si>
    <t>Maximum hours of continuous peak heating use (hrs)</t>
  </si>
  <si>
    <t>http://www.veoliawater2energy.com/en/references/heat-pumps/</t>
  </si>
  <si>
    <t>Image source:</t>
  </si>
  <si>
    <t>Average heat sink return flow rate (L/s, water only)</t>
  </si>
  <si>
    <t>COP adjustments for Heat Sink In Temperatures</t>
  </si>
  <si>
    <t>Heat Sink In Temperature</t>
  </si>
  <si>
    <t>Avg</t>
  </si>
  <si>
    <t>b</t>
  </si>
  <si>
    <t>m</t>
  </si>
  <si>
    <t>N/A</t>
  </si>
  <si>
    <t>Peak heating requirement (kW) - if known</t>
  </si>
  <si>
    <t>Heat sink in temperature</t>
  </si>
  <si>
    <t>Heat source in temperature</t>
  </si>
  <si>
    <t>Linear regression</t>
  </si>
  <si>
    <t>Mayakawa data for 65C sink out</t>
  </si>
  <si>
    <t>Mayakawa COP data for 90C sink out</t>
  </si>
  <si>
    <t>source in\sink in</t>
  </si>
  <si>
    <t>Change in COP from Average</t>
  </si>
  <si>
    <t>Mayakawa COP data for 80C sink out</t>
  </si>
  <si>
    <t>Mayakawa data for 75C sink out</t>
  </si>
  <si>
    <t>Mayakawa data for 70C sink out</t>
  </si>
  <si>
    <t>Mayakawa data for 60C sink out</t>
  </si>
  <si>
    <t xml:space="preserve">To update the data tables used by this tool, simply adjust the relevant refrigerant tab. For adjustments that increase the size of the data tables, the relevant formulaic changes much be made in the Selection Tool tab so that the new data is referenced. The Trace Dependents function will point out all the relevant array updates required.  </t>
  </si>
  <si>
    <t>The tool follows the logic below in the calculation of outputs using the inputs provided:</t>
  </si>
  <si>
    <t>Check the Average heat required (kW) field against the refrigerant size range. Return no output if outside available machine range</t>
  </si>
  <si>
    <t xml:space="preserve">Check the Annual Process Heating Cost ($ p.a.) or Process Hours of Use p.a. inputs against Average heat required (kW) to ensure data is possible (i.e. utilisation of the heating system is less than 100%). Return no output if inputs are impossible. </t>
  </si>
  <si>
    <t>Check whether cooling is usable from Heat source and Is cooling usable?. For cooling applications, the capex cost is increased by 20%.</t>
  </si>
  <si>
    <t>Search for the correct capital expenditure based on Average heat required (kW)</t>
  </si>
  <si>
    <t>Search for the correct heat source in temperature based on Heat source, Location, and Heat source in temperature (C). This is rounded to the nearest multiple of 5</t>
  </si>
  <si>
    <t>Round the Heat sink out temperature (C) to the nearest multiple of 5</t>
  </si>
  <si>
    <t>Search for and provide the COP (heating) and COP (cooling) based on backend data tables.</t>
  </si>
  <si>
    <t>Provide Capex and Opex (Maintenance and Energy) figures based on backend data tables and Current electricity cost ($/kWh). If data is entered into the Portion of energy use of heat pumps from solar (%) field, the electricity cost is a weighted average of the entered electricity cost and $0.06/kWh at the entered solar percentage. This is the estimated Levelised Cost of Energy (LCOE) of the solar system.</t>
  </si>
  <si>
    <t>Calculate the current heating energy cost (not shown in outputs) by incorporating the Current heating system efficiency. The efficiency defaults to 0.8 if no value is entered.</t>
  </si>
  <si>
    <t>Incorporate the Other operating costs of current system ($ p.a.) to calculate Net Savings and Simple Payback (years), with error displays to show “No Payback” if Net Savings is less than $0.</t>
  </si>
  <si>
    <t>Calculate the Current LCOE of heating energy delivered ($/kWh) using Capital cost of current heating system ($) and Current system rated life (yr).</t>
  </si>
  <si>
    <t xml:space="preserve">Calculate the Heat pump LCOE of heating energy delivered using the Capex and Opex (Maintenance and Energy). Heat pump is assumed to have a life of 25 years. </t>
  </si>
  <si>
    <t xml:space="preserve">Calculated the Storage size (kWh) and Capex of Thermal Storage using Peak heating requirement (kW) and Maximum hours of continuous peak heating use inputs. </t>
  </si>
  <si>
    <t xml:space="preserve">Calculate the NPV over 10 years by incorporating thermal storage. </t>
  </si>
  <si>
    <t>Logic Description of Tool</t>
  </si>
  <si>
    <t>Heat pump LCOE of heating energy delivered ($/kWh))</t>
  </si>
  <si>
    <t>Adv.</t>
  </si>
  <si>
    <t xml:space="preserve">D = </t>
  </si>
  <si>
    <t>H =</t>
  </si>
  <si>
    <t>Above-ground Tank</t>
  </si>
  <si>
    <t>Below-ground Tank</t>
  </si>
  <si>
    <t>Max heat pump electrical demand (kVA)</t>
  </si>
  <si>
    <t>Volume</t>
  </si>
  <si>
    <t>D</t>
  </si>
  <si>
    <t>Volume (L)</t>
  </si>
  <si>
    <t>Material Selection Matrix</t>
  </si>
  <si>
    <t>Capital Cost</t>
  </si>
  <si>
    <t>Maintenance Cost</t>
  </si>
  <si>
    <t>Material</t>
  </si>
  <si>
    <t>Insulated Plastic</t>
  </si>
  <si>
    <t>&lt;50000</t>
  </si>
  <si>
    <t>Low</t>
  </si>
  <si>
    <t>Medium</t>
  </si>
  <si>
    <t>10000 - 1000000</t>
  </si>
  <si>
    <t>Performance</t>
  </si>
  <si>
    <t>High</t>
  </si>
  <si>
    <t>Insulated Concrete</t>
  </si>
  <si>
    <t>Insulated Steel</t>
  </si>
  <si>
    <t>0 - 1000000</t>
  </si>
  <si>
    <t xml:space="preserve">Low </t>
  </si>
  <si>
    <t>Thermal Storage Tank Approximate Size</t>
  </si>
  <si>
    <t>D (m)</t>
  </si>
  <si>
    <t>Thermal storage volume (L)</t>
  </si>
  <si>
    <t>Header tank (size not included in thermal battery)</t>
  </si>
  <si>
    <t>Below ground tanks - lower capital and maintenance costs at the expense of performance. Not suitable for small systems</t>
  </si>
  <si>
    <t>Thermal storage size needed (kWh, with 50% extra)</t>
  </si>
  <si>
    <t>Checks and Data (HIDE)</t>
  </si>
  <si>
    <t>Load Flex</t>
  </si>
  <si>
    <t>Yes</t>
  </si>
  <si>
    <t>No</t>
  </si>
  <si>
    <t>Duration of Load Flex Desired (minutes)</t>
  </si>
  <si>
    <t>Is Load Flex/Demand Response Required (min 1MWe load)</t>
  </si>
  <si>
    <t>Additional Revenue from Load Flex/Demand Response</t>
  </si>
  <si>
    <t>Load Flex + DR + FCAS + RERT Revenue Stream Factor ($/MW/year)</t>
  </si>
  <si>
    <t>Assumed Annual DR requirement (hours)</t>
  </si>
  <si>
    <t>Above ground tank  - preferred if stratified heat is desired</t>
  </si>
  <si>
    <t>Thermal Battery Dimensions (Approximate)</t>
  </si>
  <si>
    <t>Discount rate for NPV calculation (%)</t>
  </si>
  <si>
    <t>Current boiler capacity (kW)</t>
  </si>
  <si>
    <t>Expected heat pump capacity (kW)</t>
  </si>
  <si>
    <t>Daily hot water needs (m3)</t>
  </si>
  <si>
    <t>When combined with a thermal battery, expect the heat pump to be about 40% of total boiler capacity</t>
  </si>
  <si>
    <t>Cold water supply temperature (C)</t>
  </si>
  <si>
    <t>Hot water temperature needed (C)</t>
  </si>
  <si>
    <t xml:space="preserve">Refrigeration condensing temp (C) </t>
  </si>
  <si>
    <t>No of hours for peak capacity (hr)</t>
  </si>
  <si>
    <t>Peak heating (kW)</t>
  </si>
  <si>
    <t>Net Savings (excluding water savings)</t>
  </si>
  <si>
    <t>Approx water savings at cooling tower (m3)</t>
  </si>
  <si>
    <t>Average heat demand over 24 hours (kW)</t>
  </si>
  <si>
    <t>m3</t>
  </si>
  <si>
    <t>Refrigerant return temperature</t>
  </si>
  <si>
    <t>kW    Calculated from daily hot water needs above</t>
  </si>
  <si>
    <t>kW   Boilers are typically very oversized given it doesn't take much extra $ to oversize (not the case for heat pumps!!)</t>
  </si>
  <si>
    <t>kW  This will affect the size of thermal battery that you need</t>
  </si>
  <si>
    <t>Peak vs average</t>
  </si>
  <si>
    <t>Heat pump size vs gas boiler</t>
  </si>
  <si>
    <t xml:space="preserve">kW   </t>
  </si>
  <si>
    <t>(more data needed to verify this)</t>
  </si>
  <si>
    <t>Hr    (Assuming 2 x 1/2 hour for washdowns).  This will affect the size of thermal battery you need</t>
  </si>
  <si>
    <t>V1.52</t>
  </si>
  <si>
    <t>This tool provides indicative results only which should not be relied upon for financial decisions.  Contact your energy consultant for a more detailed study and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</si>
</sst>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
    <numFmt numFmtId="166" formatCode="&quot;$&quot;#,##0.00"/>
    <numFmt numFmtId="167" formatCode="_-* #,##0_-;\-* #,##0_-;_-* &quot;-&quot;??_-;_-@_-"/>
    <numFmt numFmtId="168" formatCode="_-* #,##0.0_-;\-* #,##0.0_-;_-*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2">
    <xf numFmtId="0" fontId="0" fillId="0" borderId="0" xfId="0"/>
    <xf numFmtId="164" fontId="0" fillId="0" borderId="0" xfId="0" applyNumberFormat="1"/>
    <xf numFmtId="0" fontId="1" fillId="0" borderId="0" xfId="0" applyFont="1"/>
    <xf numFmtId="0" fontId="0" fillId="0" borderId="0" xfId="0" applyBorder="1"/>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xf numFmtId="49" fontId="0" fillId="0" borderId="0" xfId="0" applyNumberFormat="1" applyBorder="1"/>
    <xf numFmtId="2" fontId="0" fillId="0" borderId="0" xfId="0" applyNumberFormat="1"/>
    <xf numFmtId="2" fontId="1" fillId="0" borderId="0" xfId="0" applyNumberFormat="1" applyFont="1"/>
    <xf numFmtId="0" fontId="0" fillId="2" borderId="1" xfId="0" applyFill="1" applyBorder="1" applyAlignment="1" applyProtection="1">
      <alignment horizontal="right"/>
      <protection locked="0"/>
    </xf>
    <xf numFmtId="165" fontId="0" fillId="2" borderId="1" xfId="0" applyNumberFormat="1" applyFill="1" applyBorder="1" applyAlignment="1" applyProtection="1">
      <alignment horizontal="right"/>
      <protection locked="0"/>
    </xf>
    <xf numFmtId="0" fontId="0" fillId="0" borderId="0" xfId="0" applyProtection="1"/>
    <xf numFmtId="0" fontId="1" fillId="0" borderId="0" xfId="0" applyFont="1" applyProtection="1"/>
    <xf numFmtId="0" fontId="0" fillId="0" borderId="0" xfId="0" applyAlignment="1" applyProtection="1">
      <alignment horizontal="right"/>
    </xf>
    <xf numFmtId="0" fontId="0" fillId="0" borderId="0" xfId="0" applyAlignment="1" applyProtection="1">
      <alignment vertical="center"/>
    </xf>
    <xf numFmtId="0" fontId="0" fillId="0" borderId="0" xfId="0" applyAlignment="1" applyProtection="1"/>
    <xf numFmtId="0" fontId="0" fillId="0" borderId="0" xfId="0" applyFill="1" applyBorder="1" applyAlignment="1" applyProtection="1">
      <alignment horizontal="right"/>
    </xf>
    <xf numFmtId="0" fontId="0" fillId="0" borderId="0" xfId="0" applyFont="1" applyProtection="1"/>
    <xf numFmtId="0" fontId="0" fillId="0" borderId="0" xfId="0" applyAlignment="1" applyProtection="1">
      <alignment wrapText="1"/>
    </xf>
    <xf numFmtId="167" fontId="0" fillId="0" borderId="0" xfId="2" applyNumberFormat="1" applyFont="1" applyProtection="1"/>
    <xf numFmtId="1" fontId="0" fillId="0" borderId="0" xfId="0" applyNumberFormat="1" applyProtection="1"/>
    <xf numFmtId="164" fontId="0" fillId="0" borderId="0" xfId="0" applyNumberFormat="1" applyProtection="1"/>
    <xf numFmtId="165" fontId="0" fillId="0" borderId="0" xfId="0" applyNumberFormat="1" applyProtection="1"/>
    <xf numFmtId="166" fontId="0" fillId="0" borderId="0" xfId="0" applyNumberFormat="1" applyProtection="1"/>
    <xf numFmtId="9" fontId="0" fillId="0" borderId="0" xfId="1" applyFont="1" applyProtection="1"/>
    <xf numFmtId="0" fontId="0" fillId="0" borderId="0" xfId="0" applyAlignment="1" applyProtection="1">
      <alignment horizontal="center"/>
    </xf>
    <xf numFmtId="0" fontId="3" fillId="0" borderId="0" xfId="0" applyFont="1"/>
    <xf numFmtId="0" fontId="4" fillId="0" borderId="0" xfId="0" applyFont="1" applyProtection="1"/>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Alignment="1" applyProtection="1">
      <alignment horizontal="center"/>
    </xf>
    <xf numFmtId="164" fontId="4" fillId="0" borderId="0" xfId="0" applyNumberFormat="1" applyFont="1" applyProtection="1"/>
    <xf numFmtId="0" fontId="0" fillId="2" borderId="1" xfId="0" applyFill="1" applyBorder="1" applyProtection="1">
      <protection locked="0"/>
    </xf>
    <xf numFmtId="168" fontId="0" fillId="0" borderId="0" xfId="2" applyNumberFormat="1" applyFont="1" applyProtection="1"/>
    <xf numFmtId="0" fontId="0" fillId="3" borderId="0" xfId="0" applyFill="1" applyProtection="1"/>
    <xf numFmtId="0" fontId="0" fillId="3" borderId="1" xfId="0" applyFill="1" applyBorder="1" applyAlignment="1" applyProtection="1">
      <alignment horizontal="right"/>
      <protection locked="0"/>
    </xf>
    <xf numFmtId="0" fontId="0" fillId="0" borderId="1" xfId="0" applyFill="1" applyBorder="1" applyAlignment="1" applyProtection="1">
      <alignment horizontal="right"/>
      <protection locked="0"/>
    </xf>
    <xf numFmtId="0" fontId="0" fillId="2" borderId="1" xfId="0" applyFill="1" applyBorder="1" applyAlignment="1" applyProtection="1">
      <alignment horizontal="right"/>
    </xf>
    <xf numFmtId="0" fontId="0" fillId="2" borderId="0" xfId="0" applyFill="1" applyProtection="1">
      <protection locked="0"/>
    </xf>
    <xf numFmtId="9" fontId="0" fillId="2" borderId="0" xfId="0" applyNumberFormat="1" applyFill="1" applyProtection="1">
      <protection locked="0"/>
    </xf>
    <xf numFmtId="0" fontId="0" fillId="0" borderId="0" xfId="0" applyProtection="1">
      <protection locked="0"/>
    </xf>
  </cellXfs>
  <cellStyles count="3">
    <cellStyle name="Comma" xfId="2" builtinId="3"/>
    <cellStyle name="Normal" xfId="0" builtinId="0"/>
    <cellStyle name="Percent" xfId="1" builtinId="5"/>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34536</xdr:colOff>
      <xdr:row>16</xdr:row>
      <xdr:rowOff>58616</xdr:rowOff>
    </xdr:from>
    <xdr:to>
      <xdr:col>10</xdr:col>
      <xdr:colOff>1</xdr:colOff>
      <xdr:row>27</xdr:row>
      <xdr:rowOff>179998</xdr:rowOff>
    </xdr:to>
    <xdr:pic>
      <xdr:nvPicPr>
        <xdr:cNvPr id="4" name="Picture 3">
          <a:extLst>
            <a:ext uri="{FF2B5EF4-FFF2-40B4-BE49-F238E27FC236}">
              <a16:creationId xmlns:a16="http://schemas.microsoft.com/office/drawing/2014/main" id="{E359D0A1-67AF-4B50-A111-22F8DA80668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799" t="6630" r="6201" b="10090"/>
        <a:stretch/>
      </xdr:blipFill>
      <xdr:spPr bwMode="auto">
        <a:xfrm>
          <a:off x="6673461" y="1392116"/>
          <a:ext cx="2965840" cy="2216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295275</xdr:colOff>
      <xdr:row>13</xdr:row>
      <xdr:rowOff>180975</xdr:rowOff>
    </xdr:from>
    <xdr:to>
      <xdr:col>23</xdr:col>
      <xdr:colOff>473068</xdr:colOff>
      <xdr:row>21</xdr:row>
      <xdr:rowOff>177149</xdr:rowOff>
    </xdr:to>
    <xdr:pic>
      <xdr:nvPicPr>
        <xdr:cNvPr id="20" name="Picture 19" descr="Oceandynamic Marine Engineering and Trading Ltd. - MAYEKAWA">
          <a:extLst>
            <a:ext uri="{FF2B5EF4-FFF2-40B4-BE49-F238E27FC236}">
              <a16:creationId xmlns:a16="http://schemas.microsoft.com/office/drawing/2014/main" id="{8F19A408-5D69-40AA-9A0E-56E7B74528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49425" y="2276475"/>
          <a:ext cx="3835393" cy="1520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190500</xdr:colOff>
      <xdr:row>21</xdr:row>
      <xdr:rowOff>28575</xdr:rowOff>
    </xdr:from>
    <xdr:to>
      <xdr:col>22</xdr:col>
      <xdr:colOff>400050</xdr:colOff>
      <xdr:row>26</xdr:row>
      <xdr:rowOff>161925</xdr:rowOff>
    </xdr:to>
    <xdr:pic>
      <xdr:nvPicPr>
        <xdr:cNvPr id="21" name="Picture 20" descr="A picture containing drawing&#10;&#10;Description automatically generated">
          <a:extLst>
            <a:ext uri="{FF2B5EF4-FFF2-40B4-BE49-F238E27FC236}">
              <a16:creationId xmlns:a16="http://schemas.microsoft.com/office/drawing/2014/main" id="{A21CB351-88DD-47D4-B79B-72B9F14F74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44650" y="4029075"/>
          <a:ext cx="3257550" cy="1085850"/>
        </a:xfrm>
        <a:prstGeom prst="rect">
          <a:avLst/>
        </a:prstGeom>
      </xdr:spPr>
    </xdr:pic>
    <xdr:clientData/>
  </xdr:twoCellAnchor>
  <xdr:twoCellAnchor editAs="oneCell">
    <xdr:from>
      <xdr:col>17</xdr:col>
      <xdr:colOff>361950</xdr:colOff>
      <xdr:row>0</xdr:row>
      <xdr:rowOff>85725</xdr:rowOff>
    </xdr:from>
    <xdr:to>
      <xdr:col>22</xdr:col>
      <xdr:colOff>130861</xdr:colOff>
      <xdr:row>4</xdr:row>
      <xdr:rowOff>158365</xdr:rowOff>
    </xdr:to>
    <xdr:pic>
      <xdr:nvPicPr>
        <xdr:cNvPr id="3" name="Picture 2">
          <a:extLst>
            <a:ext uri="{FF2B5EF4-FFF2-40B4-BE49-F238E27FC236}">
              <a16:creationId xmlns:a16="http://schemas.microsoft.com/office/drawing/2014/main" id="{A7272351-E90D-42D5-B724-71125D69991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516100" y="85725"/>
          <a:ext cx="2816911" cy="834640"/>
        </a:xfrm>
        <a:prstGeom prst="rect">
          <a:avLst/>
        </a:prstGeom>
      </xdr:spPr>
    </xdr:pic>
    <xdr:clientData/>
  </xdr:twoCellAnchor>
  <xdr:twoCellAnchor>
    <xdr:from>
      <xdr:col>9</xdr:col>
      <xdr:colOff>9524</xdr:colOff>
      <xdr:row>37</xdr:row>
      <xdr:rowOff>133350</xdr:rowOff>
    </xdr:from>
    <xdr:to>
      <xdr:col>11</xdr:col>
      <xdr:colOff>514349</xdr:colOff>
      <xdr:row>54</xdr:row>
      <xdr:rowOff>85725</xdr:rowOff>
    </xdr:to>
    <xdr:sp macro="" textlink="">
      <xdr:nvSpPr>
        <xdr:cNvPr id="2" name="Flowchart: Magnetic Disk 1">
          <a:extLst>
            <a:ext uri="{FF2B5EF4-FFF2-40B4-BE49-F238E27FC236}">
              <a16:creationId xmlns:a16="http://schemas.microsoft.com/office/drawing/2014/main" id="{8C923A7C-CE6A-45B8-B8D5-B396EEBDCA76}"/>
            </a:ext>
          </a:extLst>
        </xdr:cNvPr>
        <xdr:cNvSpPr/>
      </xdr:nvSpPr>
      <xdr:spPr>
        <a:xfrm>
          <a:off x="9048749" y="5467350"/>
          <a:ext cx="1704975" cy="3190875"/>
        </a:xfrm>
        <a:prstGeom prst="flowChartMagneticDisk">
          <a:avLst/>
        </a:prstGeom>
        <a:gradFill>
          <a:gsLst>
            <a:gs pos="0">
              <a:srgbClr val="FF0000"/>
            </a:gs>
            <a:gs pos="69000">
              <a:schemeClr val="accent1"/>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514350</xdr:colOff>
      <xdr:row>40</xdr:row>
      <xdr:rowOff>152399</xdr:rowOff>
    </xdr:from>
    <xdr:to>
      <xdr:col>18</xdr:col>
      <xdr:colOff>371476</xdr:colOff>
      <xdr:row>48</xdr:row>
      <xdr:rowOff>9524</xdr:rowOff>
    </xdr:to>
    <xdr:sp macro="" textlink="">
      <xdr:nvSpPr>
        <xdr:cNvPr id="23" name="Flowchart: Magnetic Disk 22">
          <a:extLst>
            <a:ext uri="{FF2B5EF4-FFF2-40B4-BE49-F238E27FC236}">
              <a16:creationId xmlns:a16="http://schemas.microsoft.com/office/drawing/2014/main" id="{A295C1C2-2BA8-4C9E-977F-9D7DF9F987C4}"/>
            </a:ext>
          </a:extLst>
        </xdr:cNvPr>
        <xdr:cNvSpPr/>
      </xdr:nvSpPr>
      <xdr:spPr>
        <a:xfrm>
          <a:off x="13182600" y="6057899"/>
          <a:ext cx="1685926" cy="1190625"/>
        </a:xfrm>
        <a:prstGeom prst="flowChartMagneticDisk">
          <a:avLst/>
        </a:prstGeom>
        <a:gradFill>
          <a:gsLst>
            <a:gs pos="0">
              <a:srgbClr val="FF0000"/>
            </a:gs>
            <a:gs pos="69000">
              <a:schemeClr val="accent1"/>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19</xdr:col>
      <xdr:colOff>533400</xdr:colOff>
      <xdr:row>40</xdr:row>
      <xdr:rowOff>95249</xdr:rowOff>
    </xdr:from>
    <xdr:to>
      <xdr:col>22</xdr:col>
      <xdr:colOff>390526</xdr:colOff>
      <xdr:row>47</xdr:row>
      <xdr:rowOff>142874</xdr:rowOff>
    </xdr:to>
    <xdr:sp macro="" textlink="">
      <xdr:nvSpPr>
        <xdr:cNvPr id="24" name="Flowchart: Magnetic Disk 23">
          <a:extLst>
            <a:ext uri="{FF2B5EF4-FFF2-40B4-BE49-F238E27FC236}">
              <a16:creationId xmlns:a16="http://schemas.microsoft.com/office/drawing/2014/main" id="{61455B30-858E-48C4-B69C-EC38C98FBA7D}"/>
            </a:ext>
          </a:extLst>
        </xdr:cNvPr>
        <xdr:cNvSpPr/>
      </xdr:nvSpPr>
      <xdr:spPr>
        <a:xfrm>
          <a:off x="15640050" y="6000749"/>
          <a:ext cx="1685926" cy="1190625"/>
        </a:xfrm>
        <a:prstGeom prst="flowChartMagneticDisk">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352425</xdr:colOff>
      <xdr:row>47</xdr:row>
      <xdr:rowOff>9525</xdr:rowOff>
    </xdr:from>
    <xdr:to>
      <xdr:col>15</xdr:col>
      <xdr:colOff>542925</xdr:colOff>
      <xdr:row>47</xdr:row>
      <xdr:rowOff>9525</xdr:rowOff>
    </xdr:to>
    <xdr:cxnSp macro="">
      <xdr:nvCxnSpPr>
        <xdr:cNvPr id="26" name="Straight Arrow Connector 25">
          <a:extLst>
            <a:ext uri="{FF2B5EF4-FFF2-40B4-BE49-F238E27FC236}">
              <a16:creationId xmlns:a16="http://schemas.microsoft.com/office/drawing/2014/main" id="{9B181A30-A718-4740-B2CA-464E37D31D01}"/>
            </a:ext>
          </a:extLst>
        </xdr:cNvPr>
        <xdr:cNvCxnSpPr/>
      </xdr:nvCxnSpPr>
      <xdr:spPr>
        <a:xfrm>
          <a:off x="12411075" y="7058025"/>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247651</xdr:colOff>
      <xdr:row>42</xdr:row>
      <xdr:rowOff>133349</xdr:rowOff>
    </xdr:from>
    <xdr:to>
      <xdr:col>19</xdr:col>
      <xdr:colOff>542925</xdr:colOff>
      <xdr:row>45</xdr:row>
      <xdr:rowOff>114300</xdr:rowOff>
    </xdr:to>
    <xdr:cxnSp macro="">
      <xdr:nvCxnSpPr>
        <xdr:cNvPr id="28" name="Connector: Elbow 27">
          <a:extLst>
            <a:ext uri="{FF2B5EF4-FFF2-40B4-BE49-F238E27FC236}">
              <a16:creationId xmlns:a16="http://schemas.microsoft.com/office/drawing/2014/main" id="{21F1F574-3A3A-46DF-9BB3-6C85D909AD9D}"/>
            </a:ext>
          </a:extLst>
        </xdr:cNvPr>
        <xdr:cNvCxnSpPr/>
      </xdr:nvCxnSpPr>
      <xdr:spPr>
        <a:xfrm>
          <a:off x="14744701" y="6419849"/>
          <a:ext cx="904874" cy="552451"/>
        </a:xfrm>
        <a:prstGeom prst="bentConnector3">
          <a:avLst>
            <a:gd name="adj1" fmla="val 6684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352425</xdr:colOff>
      <xdr:row>42</xdr:row>
      <xdr:rowOff>85725</xdr:rowOff>
    </xdr:from>
    <xdr:to>
      <xdr:col>23</xdr:col>
      <xdr:colOff>542925</xdr:colOff>
      <xdr:row>42</xdr:row>
      <xdr:rowOff>85725</xdr:rowOff>
    </xdr:to>
    <xdr:cxnSp macro="">
      <xdr:nvCxnSpPr>
        <xdr:cNvPr id="32" name="Straight Arrow Connector 31">
          <a:extLst>
            <a:ext uri="{FF2B5EF4-FFF2-40B4-BE49-F238E27FC236}">
              <a16:creationId xmlns:a16="http://schemas.microsoft.com/office/drawing/2014/main" id="{398C0B96-4527-42FF-BB4F-5D5C4EB02C77}"/>
            </a:ext>
          </a:extLst>
        </xdr:cNvPr>
        <xdr:cNvCxnSpPr/>
      </xdr:nvCxnSpPr>
      <xdr:spPr>
        <a:xfrm>
          <a:off x="17287875" y="6372225"/>
          <a:ext cx="8001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264644</xdr:colOff>
      <xdr:row>50</xdr:row>
      <xdr:rowOff>114300</xdr:rowOff>
    </xdr:from>
    <xdr:to>
      <xdr:col>20</xdr:col>
      <xdr:colOff>127389</xdr:colOff>
      <xdr:row>57</xdr:row>
      <xdr:rowOff>45182</xdr:rowOff>
    </xdr:to>
    <xdr:pic>
      <xdr:nvPicPr>
        <xdr:cNvPr id="17" name="Picture 16">
          <a:extLst>
            <a:ext uri="{FF2B5EF4-FFF2-40B4-BE49-F238E27FC236}">
              <a16:creationId xmlns:a16="http://schemas.microsoft.com/office/drawing/2014/main" id="{AAA281A2-139A-4C09-BDC0-8E95F9B617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99" t="6630" r="6201" b="10090"/>
        <a:stretch/>
      </xdr:blipFill>
      <xdr:spPr bwMode="auto">
        <a:xfrm>
          <a:off x="14152094" y="7734300"/>
          <a:ext cx="1691545" cy="126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342900</xdr:colOff>
      <xdr:row>47</xdr:row>
      <xdr:rowOff>180975</xdr:rowOff>
    </xdr:from>
    <xdr:to>
      <xdr:col>19</xdr:col>
      <xdr:colOff>523875</xdr:colOff>
      <xdr:row>58</xdr:row>
      <xdr:rowOff>66675</xdr:rowOff>
    </xdr:to>
    <xdr:sp macro="" textlink="">
      <xdr:nvSpPr>
        <xdr:cNvPr id="13" name="Freeform: Shape 12">
          <a:extLst>
            <a:ext uri="{FF2B5EF4-FFF2-40B4-BE49-F238E27FC236}">
              <a16:creationId xmlns:a16="http://schemas.microsoft.com/office/drawing/2014/main" id="{7FD38133-8D85-42DB-B5CD-805B0931B4B8}"/>
            </a:ext>
          </a:extLst>
        </xdr:cNvPr>
        <xdr:cNvSpPr/>
      </xdr:nvSpPr>
      <xdr:spPr>
        <a:xfrm>
          <a:off x="13620750" y="7229475"/>
          <a:ext cx="2009775" cy="1981200"/>
        </a:xfrm>
        <a:custGeom>
          <a:avLst/>
          <a:gdLst>
            <a:gd name="connsiteX0" fmla="*/ 9525 w 2009775"/>
            <a:gd name="connsiteY0" fmla="*/ 0 h 1981200"/>
            <a:gd name="connsiteX1" fmla="*/ 0 w 2009775"/>
            <a:gd name="connsiteY1" fmla="*/ 1971675 h 1981200"/>
            <a:gd name="connsiteX2" fmla="*/ 2000250 w 2009775"/>
            <a:gd name="connsiteY2" fmla="*/ 1981200 h 1981200"/>
            <a:gd name="connsiteX3" fmla="*/ 2009775 w 2009775"/>
            <a:gd name="connsiteY3" fmla="*/ 1714500 h 1981200"/>
          </a:gdLst>
          <a:ahLst/>
          <a:cxnLst>
            <a:cxn ang="0">
              <a:pos x="connsiteX0" y="connsiteY0"/>
            </a:cxn>
            <a:cxn ang="0">
              <a:pos x="connsiteX1" y="connsiteY1"/>
            </a:cxn>
            <a:cxn ang="0">
              <a:pos x="connsiteX2" y="connsiteY2"/>
            </a:cxn>
            <a:cxn ang="0">
              <a:pos x="connsiteX3" y="connsiteY3"/>
            </a:cxn>
          </a:cxnLst>
          <a:rect l="l" t="t" r="r" b="b"/>
          <a:pathLst>
            <a:path w="2009775" h="1981200">
              <a:moveTo>
                <a:pt x="9525" y="0"/>
              </a:moveTo>
              <a:lnTo>
                <a:pt x="0" y="1971675"/>
              </a:lnTo>
              <a:lnTo>
                <a:pt x="2000250" y="1981200"/>
              </a:lnTo>
              <a:lnTo>
                <a:pt x="2009775" y="1714500"/>
              </a:lnTo>
            </a:path>
          </a:pathLst>
        </a:custGeom>
        <a:no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285750</xdr:colOff>
      <xdr:row>44</xdr:row>
      <xdr:rowOff>19050</xdr:rowOff>
    </xdr:from>
    <xdr:to>
      <xdr:col>19</xdr:col>
      <xdr:colOff>485775</xdr:colOff>
      <xdr:row>50</xdr:row>
      <xdr:rowOff>9525</xdr:rowOff>
    </xdr:to>
    <xdr:sp macro="" textlink="">
      <xdr:nvSpPr>
        <xdr:cNvPr id="31" name="Freeform: Shape 30">
          <a:extLst>
            <a:ext uri="{FF2B5EF4-FFF2-40B4-BE49-F238E27FC236}">
              <a16:creationId xmlns:a16="http://schemas.microsoft.com/office/drawing/2014/main" id="{4C796959-424E-41D6-AE5E-F9DBE9C8DD51}"/>
            </a:ext>
          </a:extLst>
        </xdr:cNvPr>
        <xdr:cNvSpPr/>
      </xdr:nvSpPr>
      <xdr:spPr>
        <a:xfrm>
          <a:off x="14782800" y="6686550"/>
          <a:ext cx="809625" cy="942975"/>
        </a:xfrm>
        <a:custGeom>
          <a:avLst/>
          <a:gdLst>
            <a:gd name="connsiteX0" fmla="*/ 800100 w 809625"/>
            <a:gd name="connsiteY0" fmla="*/ 1095375 h 1095375"/>
            <a:gd name="connsiteX1" fmla="*/ 809625 w 809625"/>
            <a:gd name="connsiteY1" fmla="*/ 638175 h 1095375"/>
            <a:gd name="connsiteX2" fmla="*/ 219075 w 809625"/>
            <a:gd name="connsiteY2" fmla="*/ 638175 h 1095375"/>
            <a:gd name="connsiteX3" fmla="*/ 238125 w 809625"/>
            <a:gd name="connsiteY3" fmla="*/ 0 h 1095375"/>
            <a:gd name="connsiteX4" fmla="*/ 0 w 809625"/>
            <a:gd name="connsiteY4" fmla="*/ 0 h 10953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1095375">
              <a:moveTo>
                <a:pt x="800100" y="1095375"/>
              </a:moveTo>
              <a:lnTo>
                <a:pt x="809625" y="638175"/>
              </a:lnTo>
              <a:lnTo>
                <a:pt x="219075" y="638175"/>
              </a:lnTo>
              <a:lnTo>
                <a:pt x="238125" y="0"/>
              </a:lnTo>
              <a:lnTo>
                <a:pt x="0" y="0"/>
              </a:lnTo>
            </a:path>
          </a:pathLst>
        </a:custGeom>
        <a:no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390525</xdr:colOff>
      <xdr:row>52</xdr:row>
      <xdr:rowOff>133350</xdr:rowOff>
    </xdr:from>
    <xdr:to>
      <xdr:col>8</xdr:col>
      <xdr:colOff>590550</xdr:colOff>
      <xdr:row>52</xdr:row>
      <xdr:rowOff>133350</xdr:rowOff>
    </xdr:to>
    <xdr:cxnSp macro="">
      <xdr:nvCxnSpPr>
        <xdr:cNvPr id="33" name="Straight Arrow Connector 32">
          <a:extLst>
            <a:ext uri="{FF2B5EF4-FFF2-40B4-BE49-F238E27FC236}">
              <a16:creationId xmlns:a16="http://schemas.microsoft.com/office/drawing/2014/main" id="{E1834EF0-122A-4D03-A955-AFC62831471A}"/>
            </a:ext>
          </a:extLst>
        </xdr:cNvPr>
        <xdr:cNvCxnSpPr/>
      </xdr:nvCxnSpPr>
      <xdr:spPr>
        <a:xfrm>
          <a:off x="8229600" y="8134350"/>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36044</xdr:colOff>
      <xdr:row>54</xdr:row>
      <xdr:rowOff>66675</xdr:rowOff>
    </xdr:from>
    <xdr:to>
      <xdr:col>13</xdr:col>
      <xdr:colOff>517914</xdr:colOff>
      <xdr:row>60</xdr:row>
      <xdr:rowOff>188057</xdr:rowOff>
    </xdr:to>
    <xdr:pic>
      <xdr:nvPicPr>
        <xdr:cNvPr id="34" name="Picture 33">
          <a:extLst>
            <a:ext uri="{FF2B5EF4-FFF2-40B4-BE49-F238E27FC236}">
              <a16:creationId xmlns:a16="http://schemas.microsoft.com/office/drawing/2014/main" id="{A9BE0C99-9BFB-4541-A342-7B1680EC27C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799" t="6630" r="6201" b="10090"/>
        <a:stretch/>
      </xdr:blipFill>
      <xdr:spPr bwMode="auto">
        <a:xfrm>
          <a:off x="10275419" y="8639175"/>
          <a:ext cx="1691545" cy="126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133350</xdr:colOff>
      <xdr:row>54</xdr:row>
      <xdr:rowOff>114300</xdr:rowOff>
    </xdr:from>
    <xdr:to>
      <xdr:col>13</xdr:col>
      <xdr:colOff>333375</xdr:colOff>
      <xdr:row>62</xdr:row>
      <xdr:rowOff>9525</xdr:rowOff>
    </xdr:to>
    <xdr:sp macro="" textlink="">
      <xdr:nvSpPr>
        <xdr:cNvPr id="35" name="Freeform: Shape 34">
          <a:extLst>
            <a:ext uri="{FF2B5EF4-FFF2-40B4-BE49-F238E27FC236}">
              <a16:creationId xmlns:a16="http://schemas.microsoft.com/office/drawing/2014/main" id="{43CDE685-CC2E-404E-8C3D-2B0AD2CF66F8}"/>
            </a:ext>
          </a:extLst>
        </xdr:cNvPr>
        <xdr:cNvSpPr/>
      </xdr:nvSpPr>
      <xdr:spPr>
        <a:xfrm>
          <a:off x="9772650" y="8686800"/>
          <a:ext cx="2009775" cy="1419225"/>
        </a:xfrm>
        <a:custGeom>
          <a:avLst/>
          <a:gdLst>
            <a:gd name="connsiteX0" fmla="*/ 9525 w 2009775"/>
            <a:gd name="connsiteY0" fmla="*/ 0 h 1981200"/>
            <a:gd name="connsiteX1" fmla="*/ 0 w 2009775"/>
            <a:gd name="connsiteY1" fmla="*/ 1971675 h 1981200"/>
            <a:gd name="connsiteX2" fmla="*/ 2000250 w 2009775"/>
            <a:gd name="connsiteY2" fmla="*/ 1981200 h 1981200"/>
            <a:gd name="connsiteX3" fmla="*/ 2009775 w 2009775"/>
            <a:gd name="connsiteY3" fmla="*/ 1714500 h 1981200"/>
          </a:gdLst>
          <a:ahLst/>
          <a:cxnLst>
            <a:cxn ang="0">
              <a:pos x="connsiteX0" y="connsiteY0"/>
            </a:cxn>
            <a:cxn ang="0">
              <a:pos x="connsiteX1" y="connsiteY1"/>
            </a:cxn>
            <a:cxn ang="0">
              <a:pos x="connsiteX2" y="connsiteY2"/>
            </a:cxn>
            <a:cxn ang="0">
              <a:pos x="connsiteX3" y="connsiteY3"/>
            </a:cxn>
          </a:cxnLst>
          <a:rect l="l" t="t" r="r" b="b"/>
          <a:pathLst>
            <a:path w="2009775" h="1981200">
              <a:moveTo>
                <a:pt x="9525" y="0"/>
              </a:moveTo>
              <a:lnTo>
                <a:pt x="0" y="1971675"/>
              </a:lnTo>
              <a:lnTo>
                <a:pt x="2000250" y="1981200"/>
              </a:lnTo>
              <a:lnTo>
                <a:pt x="2009775" y="1714500"/>
              </a:lnTo>
            </a:path>
          </a:pathLst>
        </a:custGeom>
        <a:noFill/>
        <a:ln>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504826</xdr:colOff>
      <xdr:row>44</xdr:row>
      <xdr:rowOff>95251</xdr:rowOff>
    </xdr:from>
    <xdr:to>
      <xdr:col>13</xdr:col>
      <xdr:colOff>323851</xdr:colOff>
      <xdr:row>54</xdr:row>
      <xdr:rowOff>38100</xdr:rowOff>
    </xdr:to>
    <xdr:sp macro="" textlink="">
      <xdr:nvSpPr>
        <xdr:cNvPr id="36" name="Freeform: Shape 35">
          <a:extLst>
            <a:ext uri="{FF2B5EF4-FFF2-40B4-BE49-F238E27FC236}">
              <a16:creationId xmlns:a16="http://schemas.microsoft.com/office/drawing/2014/main" id="{341ED9AC-8D2C-4F66-BFED-BE9537FD1E71}"/>
            </a:ext>
          </a:extLst>
        </xdr:cNvPr>
        <xdr:cNvSpPr/>
      </xdr:nvSpPr>
      <xdr:spPr>
        <a:xfrm>
          <a:off x="10744201" y="6762751"/>
          <a:ext cx="1028700" cy="1847849"/>
        </a:xfrm>
        <a:custGeom>
          <a:avLst/>
          <a:gdLst>
            <a:gd name="connsiteX0" fmla="*/ 800100 w 809625"/>
            <a:gd name="connsiteY0" fmla="*/ 1095375 h 1095375"/>
            <a:gd name="connsiteX1" fmla="*/ 809625 w 809625"/>
            <a:gd name="connsiteY1" fmla="*/ 638175 h 1095375"/>
            <a:gd name="connsiteX2" fmla="*/ 219075 w 809625"/>
            <a:gd name="connsiteY2" fmla="*/ 638175 h 1095375"/>
            <a:gd name="connsiteX3" fmla="*/ 238125 w 809625"/>
            <a:gd name="connsiteY3" fmla="*/ 0 h 1095375"/>
            <a:gd name="connsiteX4" fmla="*/ 0 w 809625"/>
            <a:gd name="connsiteY4" fmla="*/ 0 h 10953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9625" h="1095375">
              <a:moveTo>
                <a:pt x="800100" y="1095375"/>
              </a:moveTo>
              <a:lnTo>
                <a:pt x="809625" y="638175"/>
              </a:lnTo>
              <a:lnTo>
                <a:pt x="219075" y="638175"/>
              </a:lnTo>
              <a:lnTo>
                <a:pt x="238125" y="0"/>
              </a:lnTo>
              <a:lnTo>
                <a:pt x="0" y="0"/>
              </a:lnTo>
            </a:path>
          </a:pathLst>
        </a:custGeom>
        <a:no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533400</xdr:colOff>
      <xdr:row>40</xdr:row>
      <xdr:rowOff>123825</xdr:rowOff>
    </xdr:from>
    <xdr:to>
      <xdr:col>13</xdr:col>
      <xdr:colOff>123825</xdr:colOff>
      <xdr:row>40</xdr:row>
      <xdr:rowOff>123825</xdr:rowOff>
    </xdr:to>
    <xdr:cxnSp macro="">
      <xdr:nvCxnSpPr>
        <xdr:cNvPr id="37" name="Straight Arrow Connector 36">
          <a:extLst>
            <a:ext uri="{FF2B5EF4-FFF2-40B4-BE49-F238E27FC236}">
              <a16:creationId xmlns:a16="http://schemas.microsoft.com/office/drawing/2014/main" id="{82CF8603-7AA1-425D-8F15-317ADB14BC45}"/>
            </a:ext>
          </a:extLst>
        </xdr:cNvPr>
        <xdr:cNvCxnSpPr/>
      </xdr:nvCxnSpPr>
      <xdr:spPr>
        <a:xfrm>
          <a:off x="10772775" y="6029325"/>
          <a:ext cx="8001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246062</xdr:colOff>
      <xdr:row>7</xdr:row>
      <xdr:rowOff>142875</xdr:rowOff>
    </xdr:from>
    <xdr:to>
      <xdr:col>22</xdr:col>
      <xdr:colOff>338360</xdr:colOff>
      <xdr:row>12</xdr:row>
      <xdr:rowOff>0</xdr:rowOff>
    </xdr:to>
    <xdr:pic>
      <xdr:nvPicPr>
        <xdr:cNvPr id="25" name="Picture 24">
          <a:extLst>
            <a:ext uri="{FF2B5EF4-FFF2-40B4-BE49-F238E27FC236}">
              <a16:creationId xmlns:a16="http://schemas.microsoft.com/office/drawing/2014/main" id="{1E5190F8-F3D3-4BE2-92D4-054917ABD86E}"/>
            </a:ext>
          </a:extLst>
        </xdr:cNvPr>
        <xdr:cNvPicPr>
          <a:picLocks noChangeAspect="1"/>
        </xdr:cNvPicPr>
      </xdr:nvPicPr>
      <xdr:blipFill rotWithShape="1">
        <a:blip xmlns:r="http://schemas.openxmlformats.org/officeDocument/2006/relationships" r:embed="rId5"/>
        <a:srcRect l="4901" t="8738" r="7315" b="13210"/>
        <a:stretch/>
      </xdr:blipFill>
      <xdr:spPr>
        <a:xfrm>
          <a:off x="14430375" y="1476375"/>
          <a:ext cx="314823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21980</xdr:colOff>
      <xdr:row>5</xdr:row>
      <xdr:rowOff>14654</xdr:rowOff>
    </xdr:from>
    <xdr:to>
      <xdr:col>14</xdr:col>
      <xdr:colOff>527539</xdr:colOff>
      <xdr:row>21</xdr:row>
      <xdr:rowOff>183173</xdr:rowOff>
    </xdr:to>
    <xdr:sp macro="" textlink="">
      <xdr:nvSpPr>
        <xdr:cNvPr id="2" name="Rectangle 1">
          <a:extLst>
            <a:ext uri="{FF2B5EF4-FFF2-40B4-BE49-F238E27FC236}">
              <a16:creationId xmlns:a16="http://schemas.microsoft.com/office/drawing/2014/main" id="{CDDEED54-326E-4418-AA13-2C263F0C68B4}"/>
            </a:ext>
          </a:extLst>
        </xdr:cNvPr>
        <xdr:cNvSpPr/>
      </xdr:nvSpPr>
      <xdr:spPr>
        <a:xfrm>
          <a:off x="8461130" y="4777154"/>
          <a:ext cx="5953859" cy="32165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14652</xdr:colOff>
      <xdr:row>6</xdr:row>
      <xdr:rowOff>168519</xdr:rowOff>
    </xdr:from>
    <xdr:to>
      <xdr:col>14</xdr:col>
      <xdr:colOff>549518</xdr:colOff>
      <xdr:row>22</xdr:row>
      <xdr:rowOff>519</xdr:rowOff>
    </xdr:to>
    <xdr:sp macro="" textlink="">
      <xdr:nvSpPr>
        <xdr:cNvPr id="3" name="Freeform: Shape 2">
          <a:extLst>
            <a:ext uri="{FF2B5EF4-FFF2-40B4-BE49-F238E27FC236}">
              <a16:creationId xmlns:a16="http://schemas.microsoft.com/office/drawing/2014/main" id="{1533CDBA-26CE-4247-B9DB-0435E7147D2F}"/>
            </a:ext>
          </a:extLst>
        </xdr:cNvPr>
        <xdr:cNvSpPr/>
      </xdr:nvSpPr>
      <xdr:spPr>
        <a:xfrm>
          <a:off x="8453802" y="5121519"/>
          <a:ext cx="5983166" cy="2880000"/>
        </a:xfrm>
        <a:custGeom>
          <a:avLst/>
          <a:gdLst>
            <a:gd name="connsiteX0" fmla="*/ 3619500 w 3619500"/>
            <a:gd name="connsiteY0" fmla="*/ 2469173 h 2476500"/>
            <a:gd name="connsiteX1" fmla="*/ 0 w 3619500"/>
            <a:gd name="connsiteY1" fmla="*/ 2476500 h 2476500"/>
            <a:gd name="connsiteX2" fmla="*/ 7327 w 3619500"/>
            <a:gd name="connsiteY2" fmla="*/ 0 h 2476500"/>
          </a:gdLst>
          <a:ahLst/>
          <a:cxnLst>
            <a:cxn ang="0">
              <a:pos x="connsiteX0" y="connsiteY0"/>
            </a:cxn>
            <a:cxn ang="0">
              <a:pos x="connsiteX1" y="connsiteY1"/>
            </a:cxn>
            <a:cxn ang="0">
              <a:pos x="connsiteX2" y="connsiteY2"/>
            </a:cxn>
          </a:cxnLst>
          <a:rect l="l" t="t" r="r" b="b"/>
          <a:pathLst>
            <a:path w="3619500" h="2476500">
              <a:moveTo>
                <a:pt x="3619500" y="2469173"/>
              </a:moveTo>
              <a:lnTo>
                <a:pt x="0" y="2476500"/>
              </a:lnTo>
              <a:cubicBezTo>
                <a:pt x="2442" y="1651000"/>
                <a:pt x="4885" y="825500"/>
                <a:pt x="7327" y="0"/>
              </a:cubicBezTo>
            </a:path>
          </a:pathLst>
        </a:custGeom>
        <a:noFill/>
        <a:ln>
          <a:headEnd type="triangl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38832</xdr:colOff>
      <xdr:row>8</xdr:row>
      <xdr:rowOff>42496</xdr:rowOff>
    </xdr:from>
    <xdr:to>
      <xdr:col>11</xdr:col>
      <xdr:colOff>24178</xdr:colOff>
      <xdr:row>19</xdr:row>
      <xdr:rowOff>64477</xdr:rowOff>
    </xdr:to>
    <xdr:sp macro="" textlink="">
      <xdr:nvSpPr>
        <xdr:cNvPr id="4" name="Freeform: Shape 3">
          <a:extLst>
            <a:ext uri="{FF2B5EF4-FFF2-40B4-BE49-F238E27FC236}">
              <a16:creationId xmlns:a16="http://schemas.microsoft.com/office/drawing/2014/main" id="{559BBDE5-01D9-4D72-A3DA-9629045D75E4}"/>
            </a:ext>
          </a:extLst>
        </xdr:cNvPr>
        <xdr:cNvSpPr/>
      </xdr:nvSpPr>
      <xdr:spPr>
        <a:xfrm>
          <a:off x="8477982" y="5376496"/>
          <a:ext cx="3604846" cy="2117481"/>
        </a:xfrm>
        <a:custGeom>
          <a:avLst/>
          <a:gdLst>
            <a:gd name="connsiteX0" fmla="*/ 7327 w 2022231"/>
            <a:gd name="connsiteY0" fmla="*/ 1809750 h 1809750"/>
            <a:gd name="connsiteX1" fmla="*/ 2022231 w 2022231"/>
            <a:gd name="connsiteY1" fmla="*/ 1795096 h 1809750"/>
            <a:gd name="connsiteX2" fmla="*/ 2022231 w 2022231"/>
            <a:gd name="connsiteY2" fmla="*/ 0 h 1809750"/>
            <a:gd name="connsiteX3" fmla="*/ 0 w 2022231"/>
            <a:gd name="connsiteY3" fmla="*/ 0 h 1809750"/>
            <a:gd name="connsiteX4" fmla="*/ 7327 w 2022231"/>
            <a:gd name="connsiteY4" fmla="*/ 1809750 h 18097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22231" h="1809750">
              <a:moveTo>
                <a:pt x="7327" y="1809750"/>
              </a:moveTo>
              <a:lnTo>
                <a:pt x="2022231" y="1795096"/>
              </a:lnTo>
              <a:lnTo>
                <a:pt x="2022231" y="0"/>
              </a:lnTo>
              <a:lnTo>
                <a:pt x="0" y="0"/>
              </a:lnTo>
              <a:cubicBezTo>
                <a:pt x="2442" y="603250"/>
                <a:pt x="4885" y="1206500"/>
                <a:pt x="7327" y="1809750"/>
              </a:cubicBezTo>
              <a:close/>
            </a:path>
          </a:pathLst>
        </a:cu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280621</xdr:colOff>
      <xdr:row>11</xdr:row>
      <xdr:rowOff>181708</xdr:rowOff>
    </xdr:from>
    <xdr:to>
      <xdr:col>14</xdr:col>
      <xdr:colOff>375872</xdr:colOff>
      <xdr:row>20</xdr:row>
      <xdr:rowOff>71804</xdr:rowOff>
    </xdr:to>
    <xdr:sp macro="" textlink="">
      <xdr:nvSpPr>
        <xdr:cNvPr id="5" name="Freeform: Shape 4">
          <a:extLst>
            <a:ext uri="{FF2B5EF4-FFF2-40B4-BE49-F238E27FC236}">
              <a16:creationId xmlns:a16="http://schemas.microsoft.com/office/drawing/2014/main" id="{A8F6D6F9-3670-4E57-87C8-6F9BA1361771}"/>
            </a:ext>
          </a:extLst>
        </xdr:cNvPr>
        <xdr:cNvSpPr/>
      </xdr:nvSpPr>
      <xdr:spPr>
        <a:xfrm>
          <a:off x="9319846" y="6087208"/>
          <a:ext cx="4943476" cy="1604596"/>
        </a:xfrm>
        <a:custGeom>
          <a:avLst/>
          <a:gdLst>
            <a:gd name="connsiteX0" fmla="*/ 7327 w 2022231"/>
            <a:gd name="connsiteY0" fmla="*/ 1809750 h 1809750"/>
            <a:gd name="connsiteX1" fmla="*/ 2022231 w 2022231"/>
            <a:gd name="connsiteY1" fmla="*/ 1795096 h 1809750"/>
            <a:gd name="connsiteX2" fmla="*/ 2022231 w 2022231"/>
            <a:gd name="connsiteY2" fmla="*/ 0 h 1809750"/>
            <a:gd name="connsiteX3" fmla="*/ 0 w 2022231"/>
            <a:gd name="connsiteY3" fmla="*/ 0 h 1809750"/>
            <a:gd name="connsiteX4" fmla="*/ 7327 w 2022231"/>
            <a:gd name="connsiteY4" fmla="*/ 1809750 h 18097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22231" h="1809750">
              <a:moveTo>
                <a:pt x="7327" y="1809750"/>
              </a:moveTo>
              <a:lnTo>
                <a:pt x="2022231" y="1795096"/>
              </a:lnTo>
              <a:lnTo>
                <a:pt x="2022231" y="0"/>
              </a:lnTo>
              <a:lnTo>
                <a:pt x="0" y="0"/>
              </a:lnTo>
              <a:cubicBezTo>
                <a:pt x="2442" y="603250"/>
                <a:pt x="4885" y="1206500"/>
                <a:pt x="7327" y="1809750"/>
              </a:cubicBezTo>
              <a:close/>
            </a:path>
          </a:pathLst>
        </a:custGeom>
        <a:gradFill flip="none" rotWithShape="1">
          <a:gsLst>
            <a:gs pos="0">
              <a:srgbClr val="92D050">
                <a:tint val="66000"/>
                <a:satMod val="160000"/>
              </a:srgbClr>
            </a:gs>
            <a:gs pos="69000">
              <a:srgbClr val="92D050">
                <a:tint val="44500"/>
                <a:satMod val="160000"/>
              </a:srgbClr>
            </a:gs>
            <a:gs pos="85000">
              <a:srgbClr val="92D050">
                <a:tint val="23500"/>
                <a:satMod val="160000"/>
              </a:srgbClr>
            </a:gs>
          </a:gsLst>
          <a:path path="rect">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290146</xdr:colOff>
      <xdr:row>14</xdr:row>
      <xdr:rowOff>92319</xdr:rowOff>
    </xdr:from>
    <xdr:to>
      <xdr:col>11</xdr:col>
      <xdr:colOff>163389</xdr:colOff>
      <xdr:row>16</xdr:row>
      <xdr:rowOff>71804</xdr:rowOff>
    </xdr:to>
    <xdr:sp macro="" textlink="">
      <xdr:nvSpPr>
        <xdr:cNvPr id="6" name="TextBox 5">
          <a:extLst>
            <a:ext uri="{FF2B5EF4-FFF2-40B4-BE49-F238E27FC236}">
              <a16:creationId xmlns:a16="http://schemas.microsoft.com/office/drawing/2014/main" id="{0E1844E3-9586-4F76-9DE6-9B7CBD3CFD6D}"/>
            </a:ext>
          </a:extLst>
        </xdr:cNvPr>
        <xdr:cNvSpPr txBox="1"/>
      </xdr:nvSpPr>
      <xdr:spPr>
        <a:xfrm>
          <a:off x="11129596" y="6569319"/>
          <a:ext cx="1092443" cy="360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accent6"/>
              </a:solidFill>
            </a:rPr>
            <a:t>Ammonia</a:t>
          </a:r>
        </a:p>
      </xdr:txBody>
    </xdr:sp>
    <xdr:clientData/>
  </xdr:twoCellAnchor>
  <xdr:twoCellAnchor>
    <xdr:from>
      <xdr:col>9</xdr:col>
      <xdr:colOff>112834</xdr:colOff>
      <xdr:row>12</xdr:row>
      <xdr:rowOff>39565</xdr:rowOff>
    </xdr:from>
    <xdr:to>
      <xdr:col>13</xdr:col>
      <xdr:colOff>397852</xdr:colOff>
      <xdr:row>13</xdr:row>
      <xdr:rowOff>128953</xdr:rowOff>
    </xdr:to>
    <xdr:sp macro="" textlink="">
      <xdr:nvSpPr>
        <xdr:cNvPr id="7" name="TextBox 6">
          <a:extLst>
            <a:ext uri="{FF2B5EF4-FFF2-40B4-BE49-F238E27FC236}">
              <a16:creationId xmlns:a16="http://schemas.microsoft.com/office/drawing/2014/main" id="{D38DB432-9E83-4A71-A5CD-9417F33421C5}"/>
            </a:ext>
          </a:extLst>
        </xdr:cNvPr>
        <xdr:cNvSpPr txBox="1"/>
      </xdr:nvSpPr>
      <xdr:spPr>
        <a:xfrm>
          <a:off x="10952284" y="6135565"/>
          <a:ext cx="2723418" cy="279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solidFill>
                <a:schemeClr val="accent6"/>
              </a:solidFill>
            </a:rPr>
            <a:t>Lower efficiency at higher temperatures</a:t>
          </a:r>
        </a:p>
      </xdr:txBody>
    </xdr:sp>
    <xdr:clientData/>
  </xdr:twoCellAnchor>
  <xdr:twoCellAnchor>
    <xdr:from>
      <xdr:col>6</xdr:col>
      <xdr:colOff>455733</xdr:colOff>
      <xdr:row>12</xdr:row>
      <xdr:rowOff>177311</xdr:rowOff>
    </xdr:from>
    <xdr:to>
      <xdr:col>8</xdr:col>
      <xdr:colOff>544390</xdr:colOff>
      <xdr:row>15</xdr:row>
      <xdr:rowOff>64477</xdr:rowOff>
    </xdr:to>
    <xdr:sp macro="" textlink="">
      <xdr:nvSpPr>
        <xdr:cNvPr id="8" name="TextBox 7">
          <a:extLst>
            <a:ext uri="{FF2B5EF4-FFF2-40B4-BE49-F238E27FC236}">
              <a16:creationId xmlns:a16="http://schemas.microsoft.com/office/drawing/2014/main" id="{FE404D41-FA14-42E7-AC4F-3550A144AF45}"/>
            </a:ext>
          </a:extLst>
        </xdr:cNvPr>
        <xdr:cNvSpPr txBox="1"/>
      </xdr:nvSpPr>
      <xdr:spPr>
        <a:xfrm>
          <a:off x="9494958" y="6273311"/>
          <a:ext cx="1288807" cy="45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solidFill>
                <a:schemeClr val="accent6"/>
              </a:solidFill>
            </a:rPr>
            <a:t>Uneconomical at </a:t>
          </a:r>
          <a:r>
            <a:rPr lang="en-AU" sz="1100" baseline="0">
              <a:solidFill>
                <a:schemeClr val="accent6"/>
              </a:solidFill>
            </a:rPr>
            <a:t>lower capacities</a:t>
          </a:r>
          <a:endParaRPr lang="en-AU" sz="1100">
            <a:solidFill>
              <a:schemeClr val="accent6"/>
            </a:solidFill>
          </a:endParaRPr>
        </a:p>
      </xdr:txBody>
    </xdr:sp>
    <xdr:clientData/>
  </xdr:twoCellAnchor>
  <xdr:twoCellAnchor>
    <xdr:from>
      <xdr:col>12</xdr:col>
      <xdr:colOff>338503</xdr:colOff>
      <xdr:row>14</xdr:row>
      <xdr:rowOff>177310</xdr:rowOff>
    </xdr:from>
    <xdr:to>
      <xdr:col>14</xdr:col>
      <xdr:colOff>529737</xdr:colOff>
      <xdr:row>17</xdr:row>
      <xdr:rowOff>71803</xdr:rowOff>
    </xdr:to>
    <xdr:sp macro="" textlink="">
      <xdr:nvSpPr>
        <xdr:cNvPr id="9" name="TextBox 8">
          <a:extLst>
            <a:ext uri="{FF2B5EF4-FFF2-40B4-BE49-F238E27FC236}">
              <a16:creationId xmlns:a16="http://schemas.microsoft.com/office/drawing/2014/main" id="{7C9F9DE1-27F4-4AC7-968F-A9411380D3AE}"/>
            </a:ext>
          </a:extLst>
        </xdr:cNvPr>
        <xdr:cNvSpPr txBox="1"/>
      </xdr:nvSpPr>
      <xdr:spPr>
        <a:xfrm>
          <a:off x="13006753" y="6654310"/>
          <a:ext cx="1410434" cy="465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solidFill>
                <a:schemeClr val="accent6"/>
              </a:solidFill>
            </a:rPr>
            <a:t>Capacity up</a:t>
          </a:r>
          <a:r>
            <a:rPr lang="en-AU" sz="1100" baseline="0">
              <a:solidFill>
                <a:schemeClr val="accent6"/>
              </a:solidFill>
            </a:rPr>
            <a:t> to 40MW and higher</a:t>
          </a:r>
          <a:endParaRPr lang="en-AU" sz="1100">
            <a:solidFill>
              <a:schemeClr val="accent6"/>
            </a:solidFill>
          </a:endParaRPr>
        </a:p>
      </xdr:txBody>
    </xdr:sp>
    <xdr:clientData/>
  </xdr:twoCellAnchor>
  <xdr:twoCellAnchor>
    <xdr:from>
      <xdr:col>4</xdr:col>
      <xdr:colOff>530469</xdr:colOff>
      <xdr:row>12</xdr:row>
      <xdr:rowOff>186103</xdr:rowOff>
    </xdr:from>
    <xdr:to>
      <xdr:col>6</xdr:col>
      <xdr:colOff>418367</xdr:colOff>
      <xdr:row>14</xdr:row>
      <xdr:rowOff>165588</xdr:rowOff>
    </xdr:to>
    <xdr:sp macro="" textlink="">
      <xdr:nvSpPr>
        <xdr:cNvPr id="10" name="TextBox 9">
          <a:extLst>
            <a:ext uri="{FF2B5EF4-FFF2-40B4-BE49-F238E27FC236}">
              <a16:creationId xmlns:a16="http://schemas.microsoft.com/office/drawing/2014/main" id="{798AB9E4-CD6F-4EC1-AD2E-4D3E94AC64CA}"/>
            </a:ext>
          </a:extLst>
        </xdr:cNvPr>
        <xdr:cNvSpPr txBox="1"/>
      </xdr:nvSpPr>
      <xdr:spPr>
        <a:xfrm>
          <a:off x="8369544" y="6282103"/>
          <a:ext cx="1088048" cy="360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accent1"/>
              </a:solidFill>
            </a:rPr>
            <a:t>CO</a:t>
          </a:r>
          <a:r>
            <a:rPr lang="en-AU" sz="1400" baseline="-25000">
              <a:solidFill>
                <a:schemeClr val="accent1"/>
              </a:solidFill>
            </a:rPr>
            <a:t>2</a:t>
          </a:r>
          <a:r>
            <a:rPr lang="en-AU" sz="1400">
              <a:solidFill>
                <a:schemeClr val="accent1"/>
              </a:solidFill>
            </a:rPr>
            <a:t> </a:t>
          </a:r>
        </a:p>
      </xdr:txBody>
    </xdr:sp>
    <xdr:clientData/>
  </xdr:twoCellAnchor>
  <xdr:twoCellAnchor>
    <xdr:from>
      <xdr:col>6</xdr:col>
      <xdr:colOff>250579</xdr:colOff>
      <xdr:row>8</xdr:row>
      <xdr:rowOff>89387</xdr:rowOff>
    </xdr:from>
    <xdr:to>
      <xdr:col>9</xdr:col>
      <xdr:colOff>97447</xdr:colOff>
      <xdr:row>11</xdr:row>
      <xdr:rowOff>5862</xdr:rowOff>
    </xdr:to>
    <xdr:sp macro="" textlink="">
      <xdr:nvSpPr>
        <xdr:cNvPr id="11" name="TextBox 10">
          <a:extLst>
            <a:ext uri="{FF2B5EF4-FFF2-40B4-BE49-F238E27FC236}">
              <a16:creationId xmlns:a16="http://schemas.microsoft.com/office/drawing/2014/main" id="{9A52CC84-4A79-441E-9B4E-3904B6C99369}"/>
            </a:ext>
          </a:extLst>
        </xdr:cNvPr>
        <xdr:cNvSpPr txBox="1"/>
      </xdr:nvSpPr>
      <xdr:spPr>
        <a:xfrm>
          <a:off x="9289804" y="5423387"/>
          <a:ext cx="1647093" cy="487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solidFill>
                <a:schemeClr val="accent1"/>
              </a:solidFill>
            </a:rPr>
            <a:t>Better performance above ~85C</a:t>
          </a:r>
        </a:p>
      </xdr:txBody>
    </xdr:sp>
    <xdr:clientData/>
  </xdr:twoCellAnchor>
  <xdr:twoCellAnchor>
    <xdr:from>
      <xdr:col>5</xdr:col>
      <xdr:colOff>36633</xdr:colOff>
      <xdr:row>16</xdr:row>
      <xdr:rowOff>124556</xdr:rowOff>
    </xdr:from>
    <xdr:to>
      <xdr:col>7</xdr:col>
      <xdr:colOff>484309</xdr:colOff>
      <xdr:row>19</xdr:row>
      <xdr:rowOff>41031</xdr:rowOff>
    </xdr:to>
    <xdr:sp macro="" textlink="">
      <xdr:nvSpPr>
        <xdr:cNvPr id="12" name="TextBox 11">
          <a:extLst>
            <a:ext uri="{FF2B5EF4-FFF2-40B4-BE49-F238E27FC236}">
              <a16:creationId xmlns:a16="http://schemas.microsoft.com/office/drawing/2014/main" id="{F1D0FFB3-0EB0-4E82-B0F8-58531D14C77B}"/>
            </a:ext>
          </a:extLst>
        </xdr:cNvPr>
        <xdr:cNvSpPr txBox="1"/>
      </xdr:nvSpPr>
      <xdr:spPr>
        <a:xfrm>
          <a:off x="8475783" y="6982556"/>
          <a:ext cx="1647826" cy="487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solidFill>
                <a:schemeClr val="accent1"/>
              </a:solidFill>
            </a:rPr>
            <a:t>Available</a:t>
          </a:r>
          <a:r>
            <a:rPr lang="en-AU" sz="1100" baseline="0">
              <a:solidFill>
                <a:schemeClr val="accent1"/>
              </a:solidFill>
            </a:rPr>
            <a:t> &amp;</a:t>
          </a:r>
          <a:r>
            <a:rPr lang="en-AU" sz="1100">
              <a:solidFill>
                <a:schemeClr val="accent1"/>
              </a:solidFill>
            </a:rPr>
            <a:t> economical at low capacities</a:t>
          </a:r>
        </a:p>
      </xdr:txBody>
    </xdr:sp>
    <xdr:clientData/>
  </xdr:twoCellAnchor>
  <xdr:twoCellAnchor>
    <xdr:from>
      <xdr:col>7</xdr:col>
      <xdr:colOff>543656</xdr:colOff>
      <xdr:row>5</xdr:row>
      <xdr:rowOff>54219</xdr:rowOff>
    </xdr:from>
    <xdr:to>
      <xdr:col>11</xdr:col>
      <xdr:colOff>170716</xdr:colOff>
      <xdr:row>8</xdr:row>
      <xdr:rowOff>35169</xdr:rowOff>
    </xdr:to>
    <xdr:sp macro="" textlink="">
      <xdr:nvSpPr>
        <xdr:cNvPr id="13" name="TextBox 12">
          <a:extLst>
            <a:ext uri="{FF2B5EF4-FFF2-40B4-BE49-F238E27FC236}">
              <a16:creationId xmlns:a16="http://schemas.microsoft.com/office/drawing/2014/main" id="{973ECDCE-759C-4618-B37D-3C81A9C40B79}"/>
            </a:ext>
          </a:extLst>
        </xdr:cNvPr>
        <xdr:cNvSpPr txBox="1"/>
      </xdr:nvSpPr>
      <xdr:spPr>
        <a:xfrm>
          <a:off x="10182956" y="4816719"/>
          <a:ext cx="204641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tx1"/>
              </a:solidFill>
            </a:rPr>
            <a:t>Refrigerant Comparison</a:t>
          </a:r>
          <a:r>
            <a:rPr lang="en-AU" sz="1400" baseline="0">
              <a:solidFill>
                <a:schemeClr val="tx1"/>
              </a:solidFill>
            </a:rPr>
            <a:t> </a:t>
          </a:r>
          <a:r>
            <a:rPr lang="en-AU" sz="1400">
              <a:solidFill>
                <a:schemeClr val="accent1"/>
              </a:solidFill>
            </a:rPr>
            <a:t>CO</a:t>
          </a:r>
          <a:r>
            <a:rPr lang="en-AU" sz="1400" baseline="-25000">
              <a:solidFill>
                <a:schemeClr val="accent1"/>
              </a:solidFill>
            </a:rPr>
            <a:t>2</a:t>
          </a:r>
          <a:r>
            <a:rPr lang="en-AU" sz="1400">
              <a:solidFill>
                <a:schemeClr val="accent1"/>
              </a:solidFill>
            </a:rPr>
            <a:t> </a:t>
          </a:r>
          <a:r>
            <a:rPr lang="en-AU" sz="1400">
              <a:solidFill>
                <a:schemeClr val="tx1"/>
              </a:solidFill>
            </a:rPr>
            <a:t>vs</a:t>
          </a:r>
          <a:r>
            <a:rPr lang="en-AU" sz="1400" baseline="0">
              <a:solidFill>
                <a:schemeClr val="accent1"/>
              </a:solidFill>
            </a:rPr>
            <a:t> </a:t>
          </a:r>
          <a:r>
            <a:rPr lang="en-AU" sz="1400" baseline="0">
              <a:solidFill>
                <a:schemeClr val="accent6"/>
              </a:solidFill>
            </a:rPr>
            <a:t>Ammonia</a:t>
          </a:r>
          <a:endParaRPr lang="en-AU" sz="1400">
            <a:solidFill>
              <a:schemeClr val="accent6"/>
            </a:solidFill>
          </a:endParaRPr>
        </a:p>
      </xdr:txBody>
    </xdr:sp>
    <xdr:clientData/>
  </xdr:twoCellAnchor>
  <xdr:twoCellAnchor>
    <xdr:from>
      <xdr:col>8</xdr:col>
      <xdr:colOff>214678</xdr:colOff>
      <xdr:row>23</xdr:row>
      <xdr:rowOff>5861</xdr:rowOff>
    </xdr:from>
    <xdr:to>
      <xdr:col>11</xdr:col>
      <xdr:colOff>307730</xdr:colOff>
      <xdr:row>24</xdr:row>
      <xdr:rowOff>146538</xdr:rowOff>
    </xdr:to>
    <xdr:sp macro="" textlink="">
      <xdr:nvSpPr>
        <xdr:cNvPr id="14" name="TextBox 13">
          <a:extLst>
            <a:ext uri="{FF2B5EF4-FFF2-40B4-BE49-F238E27FC236}">
              <a16:creationId xmlns:a16="http://schemas.microsoft.com/office/drawing/2014/main" id="{38073031-CC61-4E55-B8F0-107707972D95}"/>
            </a:ext>
          </a:extLst>
        </xdr:cNvPr>
        <xdr:cNvSpPr txBox="1"/>
      </xdr:nvSpPr>
      <xdr:spPr>
        <a:xfrm>
          <a:off x="10454053" y="8197361"/>
          <a:ext cx="1912327" cy="331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Heat pump capacity in kW</a:t>
          </a:r>
          <a:r>
            <a:rPr lang="en-AU" sz="1100" baseline="-25000"/>
            <a:t>th</a:t>
          </a:r>
          <a:r>
            <a:rPr lang="en-AU" sz="1100"/>
            <a:t> </a:t>
          </a:r>
        </a:p>
      </xdr:txBody>
    </xdr:sp>
    <xdr:clientData/>
  </xdr:twoCellAnchor>
  <xdr:twoCellAnchor>
    <xdr:from>
      <xdr:col>3</xdr:col>
      <xdr:colOff>0</xdr:colOff>
      <xdr:row>12</xdr:row>
      <xdr:rowOff>0</xdr:rowOff>
    </xdr:from>
    <xdr:to>
      <xdr:col>4</xdr:col>
      <xdr:colOff>317989</xdr:colOff>
      <xdr:row>14</xdr:row>
      <xdr:rowOff>131884</xdr:rowOff>
    </xdr:to>
    <xdr:sp macro="" textlink="">
      <xdr:nvSpPr>
        <xdr:cNvPr id="15" name="TextBox 14">
          <a:extLst>
            <a:ext uri="{FF2B5EF4-FFF2-40B4-BE49-F238E27FC236}">
              <a16:creationId xmlns:a16="http://schemas.microsoft.com/office/drawing/2014/main" id="{580EDAEA-F0F5-4424-8FD1-637EDD491267}"/>
            </a:ext>
          </a:extLst>
        </xdr:cNvPr>
        <xdr:cNvSpPr txBox="1"/>
      </xdr:nvSpPr>
      <xdr:spPr>
        <a:xfrm>
          <a:off x="1219200" y="2286000"/>
          <a:ext cx="927589" cy="512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Heat sink out temp </a:t>
          </a:r>
          <a:r>
            <a:rPr lang="en-AU" sz="1100" baseline="30000"/>
            <a:t>0</a:t>
          </a:r>
          <a:r>
            <a:rPr lang="en-AU" sz="1100"/>
            <a:t>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4BDE-9198-434E-B7CB-BE12FDB4AE27}">
  <dimension ref="B2:B19"/>
  <sheetViews>
    <sheetView tabSelected="1" workbookViewId="0">
      <selection activeCell="B14" sqref="B14"/>
    </sheetView>
  </sheetViews>
  <sheetFormatPr defaultRowHeight="15" x14ac:dyDescent="0.25"/>
  <sheetData>
    <row r="2" spans="2:2" ht="15.75" x14ac:dyDescent="0.25">
      <c r="B2" s="27" t="s">
        <v>132</v>
      </c>
    </row>
    <row r="3" spans="2:2" x14ac:dyDescent="0.25">
      <c r="B3" t="s">
        <v>117</v>
      </c>
    </row>
    <row r="4" spans="2:2" x14ac:dyDescent="0.25">
      <c r="B4" t="s">
        <v>118</v>
      </c>
    </row>
    <row r="5" spans="2:2" x14ac:dyDescent="0.25">
      <c r="B5" t="s">
        <v>119</v>
      </c>
    </row>
    <row r="6" spans="2:2" x14ac:dyDescent="0.25">
      <c r="B6" t="s">
        <v>120</v>
      </c>
    </row>
    <row r="7" spans="2:2" x14ac:dyDescent="0.25">
      <c r="B7" t="s">
        <v>121</v>
      </c>
    </row>
    <row r="8" spans="2:2" x14ac:dyDescent="0.25">
      <c r="B8" t="s">
        <v>122</v>
      </c>
    </row>
    <row r="9" spans="2:2" x14ac:dyDescent="0.25">
      <c r="B9" t="s">
        <v>123</v>
      </c>
    </row>
    <row r="10" spans="2:2" x14ac:dyDescent="0.25">
      <c r="B10" t="s">
        <v>124</v>
      </c>
    </row>
    <row r="11" spans="2:2" x14ac:dyDescent="0.25">
      <c r="B11" t="s">
        <v>125</v>
      </c>
    </row>
    <row r="12" spans="2:2" x14ac:dyDescent="0.25">
      <c r="B12" t="s">
        <v>126</v>
      </c>
    </row>
    <row r="13" spans="2:2" x14ac:dyDescent="0.25">
      <c r="B13" t="s">
        <v>127</v>
      </c>
    </row>
    <row r="14" spans="2:2" x14ac:dyDescent="0.25">
      <c r="B14" t="s">
        <v>128</v>
      </c>
    </row>
    <row r="15" spans="2:2" x14ac:dyDescent="0.25">
      <c r="B15" t="s">
        <v>129</v>
      </c>
    </row>
    <row r="16" spans="2:2" x14ac:dyDescent="0.25">
      <c r="B16" t="s">
        <v>130</v>
      </c>
    </row>
    <row r="17" spans="2:2" x14ac:dyDescent="0.25">
      <c r="B17" t="s">
        <v>131</v>
      </c>
    </row>
    <row r="19" spans="2:2" x14ac:dyDescent="0.25">
      <c r="B19" t="s">
        <v>116</v>
      </c>
    </row>
  </sheetData>
  <sheetProtection algorithmName="SHA-512" hashValue="sMQEOkAMCJRFJ+MQ7dvwF7bXg+C46ZSwq7emKfyOA5Jc1o/pkEl2F1xzZ6X+2BODji6nTSMET5jMUxLUIYgifw==" saltValue="Sl8jkJYMwYwwWPk95mTMZ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80"/>
  <sheetViews>
    <sheetView showGridLines="0" topLeftCell="A43" zoomScaleNormal="100" workbookViewId="0">
      <selection activeCell="O3" sqref="O3"/>
    </sheetView>
  </sheetViews>
  <sheetFormatPr defaultColWidth="9.140625" defaultRowHeight="15" x14ac:dyDescent="0.25"/>
  <cols>
    <col min="1" max="1" width="4.5703125" style="12" customWidth="1"/>
    <col min="2" max="2" width="48.28515625" style="12" customWidth="1"/>
    <col min="3" max="3" width="15" style="12" customWidth="1"/>
    <col min="4" max="4" width="26.7109375" style="12" customWidth="1"/>
    <col min="5" max="12" width="9" style="12" customWidth="1"/>
    <col min="13" max="14" width="9.140625" style="12" customWidth="1"/>
    <col min="15" max="16384" width="9.140625" style="12"/>
  </cols>
  <sheetData>
    <row r="1" spans="1:18" x14ac:dyDescent="0.25">
      <c r="B1" s="13" t="s">
        <v>51</v>
      </c>
      <c r="C1" s="13" t="s">
        <v>199</v>
      </c>
    </row>
    <row r="2" spans="1:18" x14ac:dyDescent="0.25">
      <c r="B2" s="18" t="s">
        <v>178</v>
      </c>
      <c r="C2" s="39">
        <v>250</v>
      </c>
      <c r="D2" s="12" t="s">
        <v>188</v>
      </c>
    </row>
    <row r="3" spans="1:18" x14ac:dyDescent="0.25">
      <c r="B3" s="18" t="s">
        <v>187</v>
      </c>
      <c r="C3" s="21">
        <f>C2*4.18*(J16-J30)/24/3600*1000</f>
        <v>786.16898148148152</v>
      </c>
      <c r="D3" s="12" t="s">
        <v>190</v>
      </c>
    </row>
    <row r="4" spans="1:18" x14ac:dyDescent="0.25">
      <c r="B4" s="12" t="s">
        <v>176</v>
      </c>
      <c r="C4" s="39">
        <v>2000</v>
      </c>
      <c r="D4" s="12" t="s">
        <v>191</v>
      </c>
    </row>
    <row r="5" spans="1:18" x14ac:dyDescent="0.25">
      <c r="B5" s="12" t="s">
        <v>194</v>
      </c>
      <c r="C5" s="40">
        <v>0.4</v>
      </c>
      <c r="D5" s="12" t="s">
        <v>179</v>
      </c>
    </row>
    <row r="6" spans="1:18" x14ac:dyDescent="0.25">
      <c r="B6" s="12" t="s">
        <v>177</v>
      </c>
      <c r="C6" s="12">
        <f>C4*C5</f>
        <v>800</v>
      </c>
      <c r="D6" s="12" t="s">
        <v>195</v>
      </c>
      <c r="R6" s="12" t="s">
        <v>198</v>
      </c>
    </row>
    <row r="7" spans="1:18" x14ac:dyDescent="0.25">
      <c r="B7" s="12" t="s">
        <v>193</v>
      </c>
      <c r="C7" s="40">
        <v>1.5</v>
      </c>
      <c r="D7" s="12" t="s">
        <v>196</v>
      </c>
    </row>
    <row r="8" spans="1:18" x14ac:dyDescent="0.25">
      <c r="B8" s="12" t="s">
        <v>184</v>
      </c>
      <c r="C8" s="12">
        <f>C6*C7</f>
        <v>1200</v>
      </c>
      <c r="D8" s="12" t="s">
        <v>192</v>
      </c>
    </row>
    <row r="9" spans="1:18" x14ac:dyDescent="0.25">
      <c r="B9" s="12" t="s">
        <v>183</v>
      </c>
      <c r="C9" s="39">
        <v>1</v>
      </c>
      <c r="D9" s="12" t="s">
        <v>197</v>
      </c>
    </row>
    <row r="10" spans="1:18" x14ac:dyDescent="0.25">
      <c r="B10" s="13"/>
    </row>
    <row r="11" spans="1:18" x14ac:dyDescent="0.25">
      <c r="B11" s="12" t="s">
        <v>79</v>
      </c>
      <c r="C11" s="10">
        <v>13</v>
      </c>
      <c r="D11" s="14"/>
      <c r="F11" s="12" t="s">
        <v>96</v>
      </c>
      <c r="H11" s="12" t="s">
        <v>95</v>
      </c>
    </row>
    <row r="12" spans="1:18" x14ac:dyDescent="0.25">
      <c r="A12" s="12" t="s">
        <v>77</v>
      </c>
      <c r="B12" s="12" t="s">
        <v>54</v>
      </c>
      <c r="C12" s="10"/>
      <c r="D12" s="14"/>
      <c r="G12" s="14" t="s">
        <v>53</v>
      </c>
      <c r="H12" s="37">
        <f>C6</f>
        <v>800</v>
      </c>
    </row>
    <row r="13" spans="1:18" x14ac:dyDescent="0.25">
      <c r="A13" s="12" t="s">
        <v>77</v>
      </c>
      <c r="B13" s="12" t="s">
        <v>76</v>
      </c>
      <c r="C13" s="10">
        <v>4000</v>
      </c>
      <c r="D13" s="14"/>
      <c r="G13" s="14" t="s">
        <v>104</v>
      </c>
      <c r="H13" s="37">
        <f>C8</f>
        <v>1200</v>
      </c>
    </row>
    <row r="14" spans="1:18" x14ac:dyDescent="0.25">
      <c r="B14" s="12" t="s">
        <v>39</v>
      </c>
      <c r="C14" s="10">
        <v>0.1</v>
      </c>
      <c r="D14" s="14"/>
      <c r="G14" s="14" t="s">
        <v>94</v>
      </c>
      <c r="H14" s="37">
        <f>C9</f>
        <v>1</v>
      </c>
    </row>
    <row r="15" spans="1:18" x14ac:dyDescent="0.25">
      <c r="B15" s="12" t="s">
        <v>20</v>
      </c>
      <c r="C15" s="10" t="s">
        <v>23</v>
      </c>
      <c r="D15" s="14"/>
    </row>
    <row r="16" spans="1:18" x14ac:dyDescent="0.25">
      <c r="B16" s="35" t="s">
        <v>7</v>
      </c>
      <c r="C16" s="36" t="s">
        <v>24</v>
      </c>
      <c r="D16" s="14"/>
      <c r="E16" s="14" t="s">
        <v>182</v>
      </c>
      <c r="F16" s="10">
        <v>25</v>
      </c>
      <c r="J16" s="10">
        <v>85</v>
      </c>
      <c r="K16" s="12" t="s">
        <v>181</v>
      </c>
    </row>
    <row r="17" spans="1:13" x14ac:dyDescent="0.25">
      <c r="B17" s="12" t="s">
        <v>169</v>
      </c>
      <c r="C17" s="10" t="s">
        <v>167</v>
      </c>
      <c r="D17" s="14"/>
    </row>
    <row r="18" spans="1:13" x14ac:dyDescent="0.25">
      <c r="A18" s="15"/>
      <c r="B18" s="12" t="s">
        <v>168</v>
      </c>
      <c r="C18" s="33">
        <v>120</v>
      </c>
      <c r="D18" s="14"/>
    </row>
    <row r="19" spans="1:13" x14ac:dyDescent="0.25">
      <c r="A19" s="15"/>
      <c r="D19" s="14"/>
    </row>
    <row r="20" spans="1:13" x14ac:dyDescent="0.25">
      <c r="B20" s="13" t="s">
        <v>52</v>
      </c>
      <c r="C20" s="14"/>
      <c r="D20" s="14"/>
      <c r="L20" s="38"/>
      <c r="M20" s="16" t="s">
        <v>97</v>
      </c>
    </row>
    <row r="21" spans="1:13" x14ac:dyDescent="0.25">
      <c r="B21" s="18" t="s">
        <v>82</v>
      </c>
      <c r="C21" s="10"/>
      <c r="D21" s="14"/>
    </row>
    <row r="22" spans="1:13" x14ac:dyDescent="0.25">
      <c r="B22" s="12" t="s">
        <v>93</v>
      </c>
      <c r="C22" s="10">
        <v>65</v>
      </c>
      <c r="D22" s="14"/>
    </row>
    <row r="23" spans="1:13" x14ac:dyDescent="0.25">
      <c r="B23" s="19" t="s">
        <v>66</v>
      </c>
      <c r="C23" s="11">
        <v>10000</v>
      </c>
      <c r="D23" s="14"/>
    </row>
    <row r="24" spans="1:13" x14ac:dyDescent="0.25">
      <c r="B24" s="19" t="s">
        <v>67</v>
      </c>
      <c r="C24" s="11">
        <f>C4*60</f>
        <v>120000</v>
      </c>
      <c r="D24" s="14"/>
    </row>
    <row r="25" spans="1:13" x14ac:dyDescent="0.25">
      <c r="B25" s="12" t="s">
        <v>88</v>
      </c>
      <c r="C25" s="10">
        <v>5</v>
      </c>
      <c r="D25" s="14"/>
    </row>
    <row r="26" spans="1:13" x14ac:dyDescent="0.25">
      <c r="B26" s="12" t="s">
        <v>175</v>
      </c>
      <c r="C26" s="10">
        <v>6</v>
      </c>
      <c r="D26" s="14"/>
    </row>
    <row r="27" spans="1:13" ht="15" customHeight="1" x14ac:dyDescent="0.25">
      <c r="B27" s="19" t="s">
        <v>69</v>
      </c>
      <c r="C27" s="10">
        <v>40</v>
      </c>
      <c r="D27" s="14"/>
    </row>
    <row r="28" spans="1:13" x14ac:dyDescent="0.25">
      <c r="C28" s="17"/>
      <c r="D28" s="14"/>
    </row>
    <row r="29" spans="1:13" x14ac:dyDescent="0.25">
      <c r="D29" s="14"/>
      <c r="J29" s="41"/>
    </row>
    <row r="30" spans="1:13" x14ac:dyDescent="0.25">
      <c r="C30" s="14"/>
      <c r="D30" s="14"/>
      <c r="E30" s="14" t="s">
        <v>189</v>
      </c>
      <c r="F30" s="10">
        <v>15</v>
      </c>
      <c r="J30" s="10">
        <v>20</v>
      </c>
      <c r="K30" s="16" t="s">
        <v>180</v>
      </c>
    </row>
    <row r="31" spans="1:13" x14ac:dyDescent="0.25">
      <c r="D31" s="14"/>
      <c r="E31" s="14" t="s">
        <v>59</v>
      </c>
      <c r="F31" s="10" t="s">
        <v>57</v>
      </c>
    </row>
    <row r="33" spans="2:22" x14ac:dyDescent="0.25">
      <c r="B33" s="13" t="s">
        <v>47</v>
      </c>
    </row>
    <row r="34" spans="2:22" x14ac:dyDescent="0.25">
      <c r="B34" s="13" t="s">
        <v>199</v>
      </c>
      <c r="G34" s="28"/>
      <c r="H34" s="28"/>
      <c r="I34" s="28"/>
      <c r="J34" s="28"/>
      <c r="K34" s="28"/>
      <c r="L34" s="28"/>
      <c r="M34" s="28"/>
      <c r="N34" s="28"/>
      <c r="O34" s="28"/>
      <c r="P34" s="28"/>
      <c r="Q34" s="28"/>
      <c r="R34" s="28"/>
      <c r="S34" s="28"/>
    </row>
    <row r="35" spans="2:22" x14ac:dyDescent="0.25">
      <c r="C35" s="14" t="s">
        <v>49</v>
      </c>
      <c r="D35" s="14" t="s">
        <v>50</v>
      </c>
      <c r="G35" s="28"/>
      <c r="H35" s="28" t="s">
        <v>174</v>
      </c>
      <c r="I35" s="28"/>
      <c r="J35" s="28"/>
      <c r="K35" s="28"/>
      <c r="L35" s="28"/>
      <c r="M35" s="28"/>
      <c r="N35" s="28"/>
      <c r="O35" s="28"/>
      <c r="P35" s="28"/>
      <c r="Q35" s="28"/>
      <c r="R35" s="28"/>
      <c r="S35" s="28"/>
    </row>
    <row r="36" spans="2:22" x14ac:dyDescent="0.25">
      <c r="B36" s="12" t="s">
        <v>44</v>
      </c>
      <c r="C36" s="20">
        <f>ROUND(MAX(C12/(C11/1000)*C73,C13*MAX(H12,L20*4.18*(J16-J30))*3.6),-3)</f>
        <v>11520000</v>
      </c>
      <c r="D36" s="20">
        <f>ROUND(MAX(C12/(C11/1000)*C73,C13*MAX(H12,L20*4.18*(J16-J30))*3.6),-3)</f>
        <v>11520000</v>
      </c>
      <c r="G36" s="28"/>
      <c r="H36" s="28" t="s">
        <v>173</v>
      </c>
      <c r="I36" s="28"/>
      <c r="J36" s="28"/>
      <c r="K36" s="28"/>
      <c r="L36" s="28"/>
      <c r="M36" s="28"/>
      <c r="N36" s="28"/>
      <c r="O36" s="28" t="s">
        <v>162</v>
      </c>
      <c r="P36" s="28"/>
      <c r="Q36" s="28"/>
      <c r="R36" s="28"/>
      <c r="S36" s="28"/>
    </row>
    <row r="37" spans="2:22" x14ac:dyDescent="0.25">
      <c r="B37" s="12" t="s">
        <v>139</v>
      </c>
      <c r="C37" s="20">
        <f>C38/C39/0.95</f>
        <v>276.28426856941331</v>
      </c>
      <c r="D37" s="20">
        <f>D38/D39/0.95</f>
        <v>166.58654402332212</v>
      </c>
      <c r="G37" s="28"/>
      <c r="H37" s="28"/>
      <c r="I37" s="28"/>
      <c r="J37" s="29" t="s">
        <v>135</v>
      </c>
      <c r="K37" s="28">
        <f>VLOOKUP(MAX(C78:D78),'Thermal storage'!A29:B38,2,TRUE)</f>
        <v>2</v>
      </c>
      <c r="L37" s="30" t="s">
        <v>102</v>
      </c>
      <c r="M37" s="28"/>
      <c r="N37" s="28"/>
      <c r="O37" s="28"/>
      <c r="P37" s="28"/>
      <c r="Q37" s="28"/>
      <c r="R37" s="28"/>
      <c r="S37" s="28"/>
    </row>
    <row r="38" spans="2:22" x14ac:dyDescent="0.25">
      <c r="B38" s="12" t="s">
        <v>74</v>
      </c>
      <c r="C38" s="20">
        <f>IF(C66=1,MAX(H12,L20*4.18*(J16-J30)),"No Data")</f>
        <v>800</v>
      </c>
      <c r="D38" s="20">
        <f>IF(D66=1,MAX(H12,L20*4.18*(J16-J30)),"No Data")</f>
        <v>800</v>
      </c>
      <c r="G38" s="28"/>
      <c r="H38" s="28"/>
      <c r="I38" s="28"/>
      <c r="J38" s="28"/>
      <c r="K38" s="28"/>
      <c r="L38" s="28"/>
      <c r="M38" s="28"/>
      <c r="N38" s="28"/>
      <c r="O38" s="28"/>
      <c r="S38" s="28"/>
    </row>
    <row r="39" spans="2:22" ht="15" customHeight="1" x14ac:dyDescent="0.25">
      <c r="B39" s="12" t="s">
        <v>32</v>
      </c>
      <c r="C39" s="34">
        <f>IF(C15="Air",VLOOKUP(C69,'R717'!$A$53:$M$65,MATCH('Selection Tool'!C70,'R717'!A53:M53,0),FALSE),VLOOKUP(C69,'R717'!A11:M29,MATCH('Selection Tool'!C70,'R717'!A11:M11,0),FALSE))+IF(C15="Air",0,VLOOKUP(C72,'R717'!A68:M83,MATCH(C70,'R717'!A68:M68,0)))</f>
        <v>3.0479667464176496</v>
      </c>
      <c r="D39" s="34">
        <f>IF(C15="Air",VLOOKUP(D69,'R744'!$A$53:$M$65,MATCH('Selection Tool'!D70,'R744'!A53:M53,0),FALSE),VLOOKUP(D69,'R744'!A11:M29,MATCH('Selection Tool'!D70,'R744'!A11:M11,0),FALSE))+IF(C15="Air",0,VLOOKUP(D72,'R744'!A68:M81,MATCH(D70,'R744'!A68:M68,0)))</f>
        <v>5.0550617283950618</v>
      </c>
      <c r="G39" s="28"/>
      <c r="H39" s="28"/>
      <c r="I39" s="28"/>
      <c r="J39" s="28"/>
      <c r="K39" s="28"/>
      <c r="L39" s="28"/>
      <c r="M39" s="28"/>
      <c r="N39" s="28"/>
      <c r="O39" s="28"/>
      <c r="P39" s="28"/>
      <c r="Q39" s="28"/>
      <c r="R39" s="28"/>
      <c r="S39" s="28"/>
    </row>
    <row r="40" spans="2:22" x14ac:dyDescent="0.25">
      <c r="B40" s="12" t="s">
        <v>33</v>
      </c>
      <c r="C40" s="34">
        <f>IF(OR(C15="Air",F31="NO"),0,VLOOKUP(C69,'R717'!$A$32:$M$50,MATCH('Selection Tool'!C71,'R717'!$A$32:$M$32,0),FALSE))</f>
        <v>2.8</v>
      </c>
      <c r="D40" s="34">
        <f>IF(OR(C15="Air",F31="NO"),0,VLOOKUP(D69,'R744'!$A$32:$M$50,MATCH('Selection Tool'!D71,'R744'!$A$32:$M$32,0),FALSE))</f>
        <v>1.5</v>
      </c>
      <c r="G40" s="28"/>
      <c r="H40" s="28"/>
      <c r="I40" s="28"/>
      <c r="J40" s="28"/>
      <c r="K40" s="28"/>
      <c r="L40" s="28"/>
      <c r="M40" s="28"/>
      <c r="N40" s="28"/>
      <c r="O40" s="28"/>
      <c r="P40" s="29" t="s">
        <v>135</v>
      </c>
      <c r="Q40" s="28">
        <f>VLOOKUP(MAX(C78:D78),'Thermal storage'!F29:G35,2,TRUE)</f>
        <v>3</v>
      </c>
      <c r="R40" s="30" t="s">
        <v>102</v>
      </c>
      <c r="S40" s="28"/>
      <c r="V40" s="31" t="s">
        <v>161</v>
      </c>
    </row>
    <row r="41" spans="2:22" x14ac:dyDescent="0.25">
      <c r="B41" s="12" t="s">
        <v>75</v>
      </c>
      <c r="C41" s="20">
        <f>C38/C39*C40</f>
        <v>734.91615439463931</v>
      </c>
      <c r="D41" s="20">
        <f>D38/D39*D40</f>
        <v>237.38582523323402</v>
      </c>
      <c r="G41" s="28"/>
      <c r="H41" s="28"/>
      <c r="I41" s="28"/>
      <c r="J41" s="28"/>
      <c r="K41" s="28"/>
      <c r="L41" s="28"/>
      <c r="M41" s="28"/>
      <c r="N41" s="28"/>
      <c r="O41" s="28"/>
      <c r="P41" s="28"/>
      <c r="Q41" s="28"/>
      <c r="R41" s="28"/>
      <c r="S41" s="28"/>
    </row>
    <row r="42" spans="2:22" x14ac:dyDescent="0.25">
      <c r="B42" s="12" t="s">
        <v>89</v>
      </c>
      <c r="C42" s="23">
        <f>IF(C66=1,ROUND(C38*C68*C67,-3),"No Data")</f>
        <v>627000</v>
      </c>
      <c r="D42" s="23">
        <f>IF(D66=1,ROUND(D38*D68*D67,-3),"No Data")</f>
        <v>946000</v>
      </c>
      <c r="G42" s="28"/>
      <c r="H42" s="28"/>
      <c r="I42" s="28"/>
      <c r="J42" s="28"/>
      <c r="K42" s="28"/>
      <c r="L42" s="28"/>
      <c r="M42" s="28"/>
      <c r="N42" s="28"/>
      <c r="O42" s="28"/>
      <c r="P42" s="28"/>
      <c r="Q42" s="28"/>
      <c r="R42" s="28"/>
      <c r="S42" s="28"/>
    </row>
    <row r="43" spans="2:22" x14ac:dyDescent="0.25">
      <c r="B43" s="12" t="s">
        <v>68</v>
      </c>
      <c r="C43" s="23">
        <f>ROUND(IF(C65=1,'R717'!B7*'Selection Tool'!C42+C36/3.6/SUM(C39:C40)*(C14*(1-C27/100)+C74*C27/100),"N/A"),-2)</f>
        <v>50700</v>
      </c>
      <c r="D43" s="23">
        <f>ROUND(IF(D65=1,'R744'!B7*'Selection Tool'!D42+D36/3.6/SUM(D39:D40)*(C14*(1-C27/100)+D74*C27/100),"N/A"),-2)</f>
        <v>50500</v>
      </c>
      <c r="G43" s="29" t="s">
        <v>136</v>
      </c>
      <c r="H43" s="32">
        <f>MAX(C78:D78)/1000/PI()/(K37/2)^2</f>
        <v>2.5464790894703255</v>
      </c>
      <c r="I43" s="28" t="s">
        <v>102</v>
      </c>
      <c r="J43" s="28"/>
      <c r="K43" s="28"/>
      <c r="L43" s="28"/>
      <c r="M43" s="28"/>
      <c r="N43" s="29" t="s">
        <v>136</v>
      </c>
      <c r="O43" s="32">
        <f>MAX(C78:D78)/1000/PI()/(Q40/2)^2</f>
        <v>1.1317684842090336</v>
      </c>
      <c r="P43" s="28" t="s">
        <v>102</v>
      </c>
      <c r="Q43" s="28"/>
      <c r="R43" s="28"/>
      <c r="S43" s="28"/>
    </row>
    <row r="44" spans="2:22" x14ac:dyDescent="0.25">
      <c r="B44" s="12" t="s">
        <v>64</v>
      </c>
      <c r="C44" s="20">
        <f>C76</f>
        <v>600</v>
      </c>
      <c r="D44" s="20">
        <f>D76</f>
        <v>600</v>
      </c>
      <c r="G44" s="31"/>
      <c r="H44" s="28"/>
      <c r="I44" s="28"/>
      <c r="J44" s="28"/>
      <c r="K44" s="28"/>
      <c r="L44" s="28"/>
      <c r="M44" s="28"/>
      <c r="N44" s="28"/>
      <c r="O44" s="28"/>
      <c r="P44" s="28"/>
      <c r="Q44" s="28"/>
      <c r="R44" s="28"/>
      <c r="S44" s="28"/>
    </row>
    <row r="45" spans="2:22" x14ac:dyDescent="0.25">
      <c r="B45" s="12" t="s">
        <v>65</v>
      </c>
      <c r="C45" s="23">
        <f>C44*'Thermal storage'!E24</f>
        <v>74116.355999999985</v>
      </c>
      <c r="D45" s="23">
        <f>D44*'Thermal storage'!E24</f>
        <v>74116.355999999985</v>
      </c>
      <c r="G45" s="28"/>
      <c r="H45" s="28"/>
      <c r="I45" s="28"/>
      <c r="J45" s="28"/>
      <c r="K45" s="28"/>
      <c r="L45" s="28"/>
      <c r="M45" s="28"/>
      <c r="N45" s="28"/>
      <c r="O45" s="28"/>
      <c r="P45" s="28"/>
      <c r="Q45" s="28"/>
      <c r="R45" s="28"/>
      <c r="S45" s="28"/>
    </row>
    <row r="46" spans="2:22" x14ac:dyDescent="0.25">
      <c r="B46" s="12" t="s">
        <v>185</v>
      </c>
      <c r="C46" s="23">
        <f>ROUND(C36/C73*(C11/1000)+C23-C43,-3)</f>
        <v>190000</v>
      </c>
      <c r="D46" s="23">
        <f>ROUND(D36/D73*(C11/1000)+C23-D43,-3)</f>
        <v>190000</v>
      </c>
      <c r="G46" s="28"/>
      <c r="H46" s="28"/>
      <c r="I46" s="28"/>
      <c r="J46" s="28"/>
      <c r="K46" s="28"/>
      <c r="L46" s="28"/>
      <c r="M46" s="28"/>
      <c r="N46" s="28"/>
      <c r="O46" s="28"/>
      <c r="P46" s="28"/>
      <c r="Q46" s="28"/>
      <c r="R46" s="28"/>
      <c r="S46" s="28"/>
    </row>
    <row r="47" spans="2:22" x14ac:dyDescent="0.25">
      <c r="B47" s="12" t="s">
        <v>170</v>
      </c>
      <c r="C47" s="23">
        <f>IF(C37&lt;1000,0,IF(C17="Yes",C37/1000*(C18/60)*(C79/C80),0))</f>
        <v>0</v>
      </c>
      <c r="D47" s="23">
        <f>IF(C37&lt;1000,0,IF(C17="Yes",C37/1000*(C18/60)*(D79/D80),0))</f>
        <v>0</v>
      </c>
      <c r="G47" s="28"/>
      <c r="H47" s="28"/>
      <c r="I47" s="28"/>
      <c r="J47" s="28"/>
      <c r="K47" s="28"/>
      <c r="L47" s="28"/>
      <c r="M47" s="28"/>
      <c r="N47" s="28"/>
      <c r="O47" s="28"/>
      <c r="P47" s="28"/>
      <c r="Q47" s="28"/>
      <c r="R47" s="28"/>
      <c r="S47" s="28"/>
    </row>
    <row r="48" spans="2:22" x14ac:dyDescent="0.25">
      <c r="B48" s="12" t="s">
        <v>48</v>
      </c>
      <c r="C48" s="34">
        <f>IF(C46&lt;=0,"No Payback",(C42+C45)/C46)</f>
        <v>3.6900860842105265</v>
      </c>
      <c r="D48" s="34">
        <f>IF(D46&lt;=0,"No Payback",(D42+D45)/D46)</f>
        <v>5.3690334526315793</v>
      </c>
      <c r="G48" s="28"/>
      <c r="H48" s="28"/>
      <c r="I48" s="28"/>
      <c r="J48" s="28"/>
      <c r="K48" s="28"/>
      <c r="L48" s="28"/>
      <c r="M48" s="28"/>
      <c r="N48" s="28"/>
      <c r="O48" s="28"/>
      <c r="P48" s="28"/>
      <c r="Q48" s="28"/>
      <c r="R48" s="28"/>
      <c r="S48" s="28"/>
    </row>
    <row r="49" spans="1:19" x14ac:dyDescent="0.25">
      <c r="B49" s="12" t="s">
        <v>186</v>
      </c>
      <c r="C49" s="20">
        <f>C6/2200*3600*8600/1000</f>
        <v>11258.18181818182</v>
      </c>
      <c r="D49" s="22"/>
      <c r="G49" s="28"/>
      <c r="H49" s="28"/>
      <c r="I49" s="28"/>
      <c r="J49" s="28"/>
      <c r="K49" s="28"/>
      <c r="L49" s="28"/>
      <c r="M49" s="28"/>
      <c r="N49" s="28"/>
      <c r="O49" s="28"/>
      <c r="P49" s="28"/>
      <c r="Q49" s="28"/>
      <c r="R49" s="28"/>
      <c r="S49" s="28"/>
    </row>
    <row r="50" spans="1:19" x14ac:dyDescent="0.25">
      <c r="A50" s="12" t="s">
        <v>134</v>
      </c>
      <c r="B50" s="12" t="s">
        <v>92</v>
      </c>
      <c r="C50" s="24">
        <f>(C24+(MAX(C12,C36/C73/1000*C11)+C23)*C25)/(C36/3.6*C25)</f>
        <v>8.2625000000000018E-2</v>
      </c>
      <c r="D50" s="24">
        <f>(C24+(MAX(C12,D36/D73/1000*C11)+C23)*C25)/(D36/3.6*C25)</f>
        <v>8.2625000000000018E-2</v>
      </c>
    </row>
    <row r="51" spans="1:19" x14ac:dyDescent="0.25">
      <c r="A51" s="12" t="s">
        <v>134</v>
      </c>
      <c r="B51" s="12" t="s">
        <v>133</v>
      </c>
      <c r="C51" s="24">
        <f>(C42+C43*25)/((C36/C39*SUM(C39:C40))/3.6*25)</f>
        <v>1.2342693733308048E-2</v>
      </c>
      <c r="D51" s="24">
        <f>(D42+D43*25)/((D36/D39*SUM(D39:D40))/3.6*25)</f>
        <v>2.1289089809025163E-2</v>
      </c>
    </row>
    <row r="52" spans="1:19" x14ac:dyDescent="0.25">
      <c r="A52" s="12" t="s">
        <v>134</v>
      </c>
      <c r="B52" s="12" t="s">
        <v>86</v>
      </c>
      <c r="C52" s="34">
        <f>C76/C38</f>
        <v>0.75</v>
      </c>
      <c r="D52" s="34">
        <f>D76/D38</f>
        <v>0.75</v>
      </c>
    </row>
    <row r="53" spans="1:19" x14ac:dyDescent="0.25">
      <c r="A53" s="12" t="s">
        <v>134</v>
      </c>
      <c r="B53" s="12" t="s">
        <v>87</v>
      </c>
      <c r="C53" s="23">
        <f>-C42-C45+NPV($C$26/100,C46,C46,C46,C46,C46,C46,C46,C46,C46,C46)</f>
        <v>697300.18376879196</v>
      </c>
      <c r="D53" s="23">
        <f>-D42-D45+NPV($C$26/100,D46,D46,D46,D46,D46,D46,D46,D46,D46,D46)</f>
        <v>378300.18376879196</v>
      </c>
    </row>
    <row r="63" spans="1:19" x14ac:dyDescent="0.25">
      <c r="B63" s="13" t="s">
        <v>164</v>
      </c>
    </row>
    <row r="64" spans="1:19" x14ac:dyDescent="0.25">
      <c r="C64" s="14" t="s">
        <v>40</v>
      </c>
      <c r="D64" s="14" t="s">
        <v>41</v>
      </c>
    </row>
    <row r="65" spans="2:4" x14ac:dyDescent="0.25">
      <c r="B65" s="12" t="s">
        <v>85</v>
      </c>
      <c r="C65" s="12">
        <f>IF(MAX(H12,L20*4.18*(J16-J30))&lt;='R717'!B2,0,IF(MAX(H12,L20*4.18*(J16-J30))&gt;='R717'!C2,0,1))</f>
        <v>1</v>
      </c>
      <c r="D65" s="12">
        <f>IF(MAX(H12,L20*4.18*(J16-J30))&lt;='R744'!B2,0,IF(MAX(H12,L20*4.18*(J16-J30))&gt;='R744'!C2,0,1))</f>
        <v>1</v>
      </c>
    </row>
    <row r="66" spans="2:4" x14ac:dyDescent="0.25">
      <c r="B66" s="12" t="s">
        <v>84</v>
      </c>
      <c r="C66" s="12">
        <f>IF(C65=1,IF(C36/MAX(H12,L20*4.18*(J16-J30))/3.6/8760&gt;1,0,1),0)</f>
        <v>1</v>
      </c>
      <c r="D66" s="12">
        <f>IF(D65=1,IF(D36/MAX(H12,L20*4.18*(J16-J30))/3.6/8760&gt;1,0,1),0)</f>
        <v>1</v>
      </c>
    </row>
    <row r="67" spans="2:4" x14ac:dyDescent="0.25">
      <c r="B67" s="12" t="s">
        <v>56</v>
      </c>
      <c r="C67" s="12">
        <f>IF(C15="Air",1,IF(C15="Ground Water",1,IF(F31="YES",IF(ABS(F30-F16)&gt;5,1.4,1.2),1)))</f>
        <v>1.4</v>
      </c>
      <c r="D67" s="12">
        <f>IF(C15="Air",1,IF(C15="Ground Water",1,IF(F31="YES",IF(ABS(F30-F16)&gt;5,1.4,1.2),1)))</f>
        <v>1.4</v>
      </c>
    </row>
    <row r="68" spans="2:4" x14ac:dyDescent="0.25">
      <c r="B68" s="12" t="s">
        <v>55</v>
      </c>
      <c r="C68" s="12">
        <f>IF(C15="Air",HLOOKUP(MROUND(C38,250),'R717'!A5:E7,2,TRUE)*0.9,HLOOKUP(MROUND(C38,250),'R717'!A5:E7,2,TRUE))</f>
        <v>560</v>
      </c>
      <c r="D68" s="12">
        <f>IF(C15="Air",HLOOKUP(MROUND(D38,250),'R744'!A5:E7,2,TRUE)*0.9,HLOOKUP(MROUND(D38,250),'R744'!A5:E7,2,TRUE))*IF(F16-F30&gt;5,1.3,1)</f>
        <v>845</v>
      </c>
    </row>
    <row r="69" spans="2:4" x14ac:dyDescent="0.25">
      <c r="B69" s="12" t="s">
        <v>106</v>
      </c>
      <c r="C69" s="12">
        <f>MROUND(IF(C15="Air",IF(C21&gt;0,C21,VLOOKUP(C16,'Validation Data'!A1:C9,2,FALSE)),IF('Selection Tool'!C15="Ground Water",VLOOKUP(C16,'Validation Data'!A1:C9,3,FALSE),F16)),5)</f>
        <v>25</v>
      </c>
      <c r="D69" s="12">
        <f>MROUND(IF(C15="Air",IF(C21&gt;0,C21,VLOOKUP(C16,'Validation Data'!A1:C9,2,FALSE)),IF('Selection Tool'!C15="Ground Water",VLOOKUP(C16,'Validation Data'!A1:C9,3,FALSE),F16)),5)</f>
        <v>25</v>
      </c>
    </row>
    <row r="70" spans="2:4" x14ac:dyDescent="0.25">
      <c r="B70" s="12" t="s">
        <v>18</v>
      </c>
      <c r="C70" s="12">
        <f>MROUND(J16,5)</f>
        <v>85</v>
      </c>
      <c r="D70" s="12">
        <f>MROUND(J16,5)</f>
        <v>85</v>
      </c>
    </row>
    <row r="71" spans="2:4" x14ac:dyDescent="0.25">
      <c r="B71" s="12" t="s">
        <v>19</v>
      </c>
      <c r="C71" s="12">
        <f>IF(F30=0,0,MROUND(ABS(F30),5)*F30/ABS(F30))</f>
        <v>15</v>
      </c>
      <c r="D71" s="12">
        <f>IF(F30=0,0,MROUND(ABS(F30),5)*F30/ABS(F30))</f>
        <v>15</v>
      </c>
    </row>
    <row r="72" spans="2:4" x14ac:dyDescent="0.25">
      <c r="B72" s="12" t="s">
        <v>105</v>
      </c>
      <c r="C72" s="12">
        <f>IF(J30=0,0,MROUND(ABS(J30),5)*J30/ABS(J30))</f>
        <v>20</v>
      </c>
      <c r="D72" s="12">
        <f>IF(J30=0,0,MROUND(ABS(J30),5)*J30/ABS(J30))</f>
        <v>20</v>
      </c>
    </row>
    <row r="73" spans="2:4" x14ac:dyDescent="0.25">
      <c r="B73" s="12" t="s">
        <v>63</v>
      </c>
      <c r="C73" s="12">
        <f>IF(C22&gt;0,C22/100,0.7)</f>
        <v>0.65</v>
      </c>
      <c r="D73" s="12">
        <f>IF(C22&gt;0,C22/100,0.7)</f>
        <v>0.65</v>
      </c>
    </row>
    <row r="74" spans="2:4" x14ac:dyDescent="0.25">
      <c r="B74" s="12" t="s">
        <v>73</v>
      </c>
      <c r="C74" s="12">
        <v>0.06</v>
      </c>
      <c r="D74" s="12">
        <v>0.06</v>
      </c>
    </row>
    <row r="75" spans="2:4" x14ac:dyDescent="0.25">
      <c r="B75" s="12" t="s">
        <v>83</v>
      </c>
      <c r="C75" s="21">
        <f>IF(C77&gt;1,0,1)</f>
        <v>1</v>
      </c>
      <c r="D75" s="21">
        <f>IF(D77&gt;1,0,1)</f>
        <v>1</v>
      </c>
    </row>
    <row r="76" spans="2:4" x14ac:dyDescent="0.25">
      <c r="B76" s="12" t="s">
        <v>163</v>
      </c>
      <c r="C76" s="12">
        <f>IF(C75&gt;0,(H13-H12)*H14*1.5+IF(C17="Yes",H12*C18/60*1.5,0),0)</f>
        <v>600</v>
      </c>
      <c r="D76" s="12">
        <f>IF(D75&gt;0,(H13-H12)*H14*1.5+IF(C17="Yes",H12*C18/60*1.5,0),0)</f>
        <v>600</v>
      </c>
    </row>
    <row r="77" spans="2:4" x14ac:dyDescent="0.25">
      <c r="B77" s="12" t="s">
        <v>46</v>
      </c>
      <c r="C77" s="25">
        <f>C36/3.6/C38/8760</f>
        <v>0.45662100456621002</v>
      </c>
      <c r="D77" s="25">
        <f>D36/3.6/D38/8760</f>
        <v>0.45662100456621002</v>
      </c>
    </row>
    <row r="78" spans="2:4" x14ac:dyDescent="0.25">
      <c r="B78" s="12" t="s">
        <v>160</v>
      </c>
      <c r="C78" s="12">
        <f>ROUNDUP(C76*3600/4.18/(C70-C72),-3)</f>
        <v>8000</v>
      </c>
      <c r="D78" s="12">
        <f>ROUNDUP(D76*3600/4.18/(D70-D72),-3)</f>
        <v>8000</v>
      </c>
    </row>
    <row r="79" spans="2:4" x14ac:dyDescent="0.25">
      <c r="B79" s="12" t="s">
        <v>171</v>
      </c>
      <c r="C79" s="12">
        <v>40000</v>
      </c>
      <c r="D79" s="12">
        <v>40000</v>
      </c>
    </row>
    <row r="80" spans="2:4" x14ac:dyDescent="0.25">
      <c r="B80" s="18" t="s">
        <v>172</v>
      </c>
      <c r="C80" s="18">
        <v>3</v>
      </c>
      <c r="D80" s="18">
        <v>3</v>
      </c>
    </row>
  </sheetData>
  <sheetProtection algorithmName="SHA-512" hashValue="EyLKtn/kYzFjUFu+2YNcCf+PjChz+u6rc8czrn4M8/VF4H2hupLCVkn/VZOBGqHjpClg8MWlIGyTlgZRRavWyw==" saltValue="lYYN+gcK2RJ2eyPn9eDqEQ==" spinCount="100000" sheet="1" objects="1" scenarios="1"/>
  <sortState xmlns:xlrd2="http://schemas.microsoft.com/office/spreadsheetml/2017/richdata2" ref="M14:M30">
    <sortCondition ref="M14:M30"/>
  </sortState>
  <conditionalFormatting sqref="F16">
    <cfRule type="expression" dxfId="10" priority="10">
      <formula>$C$15="Ground Water"</formula>
    </cfRule>
    <cfRule type="expression" dxfId="9" priority="13">
      <formula>$C$15="Air"</formula>
    </cfRule>
  </conditionalFormatting>
  <conditionalFormatting sqref="C28 F30:F31">
    <cfRule type="expression" dxfId="8" priority="12">
      <formula>$C$15="Air"</formula>
    </cfRule>
  </conditionalFormatting>
  <conditionalFormatting sqref="C13 L20">
    <cfRule type="expression" dxfId="7" priority="9">
      <formula>$C$12&gt;0</formula>
    </cfRule>
  </conditionalFormatting>
  <conditionalFormatting sqref="C12">
    <cfRule type="expression" dxfId="6" priority="8">
      <formula>$C$13&gt;0</formula>
    </cfRule>
  </conditionalFormatting>
  <conditionalFormatting sqref="B21:C21">
    <cfRule type="expression" dxfId="5" priority="6">
      <formula>$C$15="Ground Water"</formula>
    </cfRule>
    <cfRule type="expression" dxfId="4" priority="7">
      <formula>$C$15="Water"</formula>
    </cfRule>
  </conditionalFormatting>
  <conditionalFormatting sqref="H12">
    <cfRule type="expression" dxfId="3" priority="17">
      <formula>$L$20&gt;0</formula>
    </cfRule>
  </conditionalFormatting>
  <conditionalFormatting sqref="F30">
    <cfRule type="expression" dxfId="2" priority="20">
      <formula>$F$31="NO"</formula>
    </cfRule>
  </conditionalFormatting>
  <conditionalFormatting sqref="L20">
    <cfRule type="expression" dxfId="1" priority="21">
      <formula>$H$12&gt;0</formula>
    </cfRule>
  </conditionalFormatting>
  <conditionalFormatting sqref="C18">
    <cfRule type="expression" dxfId="0" priority="1">
      <formula>$C$17="No"</formula>
    </cfRule>
  </conditionalFormatting>
  <dataValidations count="8">
    <dataValidation type="whole" allowBlank="1" showInputMessage="1" showErrorMessage="1" errorTitle="Heat sink out temperature error" error="Please enter a whole number between 30 and 85" sqref="J16" xr:uid="{00000000-0002-0000-0000-000000000000}">
      <formula1>30</formula1>
      <formula2>85</formula2>
    </dataValidation>
    <dataValidation type="whole" allowBlank="1" showInputMessage="1" showErrorMessage="1" errorTitle="Heat source in temperature error" error="Please enter a whole number between 0 and 80" sqref="F16" xr:uid="{00000000-0002-0000-0000-000001000000}">
      <formula1>0</formula1>
      <formula2>80</formula2>
    </dataValidation>
    <dataValidation type="whole" allowBlank="1" showInputMessage="1" showErrorMessage="1" errorTitle="Heat source out temperature err" error="Please a whole number between -10 and 45" sqref="F30" xr:uid="{00000000-0002-0000-0000-000002000000}">
      <formula1>-10</formula1>
      <formula2>45</formula2>
    </dataValidation>
    <dataValidation type="whole" allowBlank="1" showInputMessage="1" showErrorMessage="1" errorTitle="Percentage error" error="Please enter a number between 0 and 100" sqref="C22 C26:C27" xr:uid="{00000000-0002-0000-0000-000003000000}">
      <formula1>0</formula1>
      <formula2>100</formula2>
    </dataValidation>
    <dataValidation type="whole" allowBlank="1" showInputMessage="1" showErrorMessage="1" errorTitle="Invalid Temperature Range" error="Please enter a value between 0 and 45." sqref="C21" xr:uid="{00000000-0002-0000-0000-000004000000}">
      <formula1>1</formula1>
      <formula2>45</formula2>
    </dataValidation>
    <dataValidation allowBlank="1" showInputMessage="1" showErrorMessage="1" errorTitle="Percentage error" error="Please enter a number between 0 and 100" sqref="H13" xr:uid="{00000000-0002-0000-0000-000005000000}"/>
    <dataValidation type="whole" allowBlank="1" showInputMessage="1" showErrorMessage="1" sqref="C13" xr:uid="{CC7C1CBF-B045-4A03-A77E-A963A556248A}">
      <formula1>0</formula1>
      <formula2>8760</formula2>
    </dataValidation>
    <dataValidation type="whole" allowBlank="1" showInputMessage="1" showErrorMessage="1" errorTitle="Percentage error" error="Please enter a number between 0 and 24" sqref="H14" xr:uid="{678D6A8F-54DD-4282-B178-CF55EF2F9C85}">
      <formula1>0</formula1>
      <formula2>24</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'Validation Data'!$A$2:$A$9</xm:f>
          </x14:formula1>
          <xm:sqref>C16</xm:sqref>
        </x14:dataValidation>
        <x14:dataValidation type="list" allowBlank="1" showInputMessage="1" showErrorMessage="1" xr:uid="{00000000-0002-0000-0000-000007000000}">
          <x14:formula1>
            <xm:f>'Validation Data'!$H$2:$H$4</xm:f>
          </x14:formula1>
          <xm:sqref>C15</xm:sqref>
        </x14:dataValidation>
        <x14:dataValidation type="list" allowBlank="1" showInputMessage="1" showErrorMessage="1" xr:uid="{00000000-0002-0000-0000-000008000000}">
          <x14:formula1>
            <xm:f>'Validation Data'!$L$1:$L$2</xm:f>
          </x14:formula1>
          <xm:sqref>C28 F31</xm:sqref>
        </x14:dataValidation>
        <x14:dataValidation type="list" allowBlank="1" showInputMessage="1" showErrorMessage="1" xr:uid="{FF4E8DC5-C75B-417D-AF07-DF614DC9FB99}">
          <x14:formula1>
            <xm:f>'Validation Data'!$A$12:$A$13</xm:f>
          </x14:formula1>
          <xm:sqref>C17</xm:sqref>
        </x14:dataValidation>
        <x14:dataValidation type="list" allowBlank="1" showInputMessage="1" showErrorMessage="1" xr:uid="{98877D2D-2D73-4EC3-82E3-28F159504892}">
          <x14:formula1>
            <xm:f>'Validation Data'!$A$14:$A$19</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CB6A-20A7-4441-8701-E8EBF85F308F}">
  <dimension ref="E5:P25"/>
  <sheetViews>
    <sheetView workbookViewId="0">
      <selection activeCell="B25" sqref="B25"/>
    </sheetView>
  </sheetViews>
  <sheetFormatPr defaultRowHeight="15" x14ac:dyDescent="0.25"/>
  <cols>
    <col min="1" max="1" width="6.5703125" customWidth="1"/>
    <col min="2" max="2" width="93.5703125" customWidth="1"/>
  </cols>
  <sheetData>
    <row r="5" spans="5:16" x14ac:dyDescent="0.25">
      <c r="E5" s="12"/>
      <c r="F5" s="12"/>
      <c r="G5" s="12"/>
      <c r="H5" s="12"/>
      <c r="I5" s="12"/>
      <c r="J5" s="12"/>
      <c r="K5" s="12"/>
      <c r="L5" s="12"/>
      <c r="M5" s="12"/>
      <c r="N5" s="12"/>
      <c r="O5" s="12"/>
      <c r="P5" s="12"/>
    </row>
    <row r="6" spans="5:16" x14ac:dyDescent="0.25">
      <c r="E6" s="12"/>
      <c r="F6" s="12"/>
      <c r="G6" s="12"/>
      <c r="H6" s="12"/>
      <c r="I6" s="12"/>
      <c r="J6" s="12"/>
      <c r="K6" s="12"/>
      <c r="L6" s="12"/>
      <c r="M6" s="12"/>
      <c r="N6" s="12"/>
      <c r="O6" s="12"/>
      <c r="P6" s="12"/>
    </row>
    <row r="7" spans="5:16" x14ac:dyDescent="0.25">
      <c r="E7" s="12"/>
      <c r="F7" s="12"/>
      <c r="G7" s="12"/>
      <c r="H7" s="12"/>
      <c r="I7" s="12"/>
      <c r="J7" s="12"/>
      <c r="K7" s="12"/>
      <c r="L7" s="12"/>
      <c r="M7" s="12"/>
      <c r="N7" s="12"/>
      <c r="O7" s="12"/>
      <c r="P7" s="12"/>
    </row>
    <row r="8" spans="5:16" x14ac:dyDescent="0.25">
      <c r="E8" s="12"/>
      <c r="F8" s="12"/>
      <c r="G8" s="12"/>
      <c r="H8" s="12"/>
      <c r="I8" s="12"/>
      <c r="J8" s="12"/>
      <c r="K8" s="12"/>
      <c r="L8" s="12"/>
      <c r="M8" s="12"/>
      <c r="N8" s="12"/>
      <c r="O8" s="12"/>
      <c r="P8" s="12"/>
    </row>
    <row r="9" spans="5:16" x14ac:dyDescent="0.25">
      <c r="E9" s="12">
        <v>105</v>
      </c>
      <c r="F9" s="12"/>
      <c r="G9" s="12"/>
      <c r="H9" s="12"/>
      <c r="I9" s="12"/>
      <c r="J9" s="12"/>
      <c r="K9" s="12"/>
      <c r="L9" s="12"/>
      <c r="M9" s="12"/>
      <c r="N9" s="12"/>
      <c r="O9" s="12"/>
      <c r="P9" s="12"/>
    </row>
    <row r="10" spans="5:16" x14ac:dyDescent="0.25">
      <c r="E10" s="12">
        <v>100</v>
      </c>
      <c r="F10" s="12"/>
      <c r="G10" s="12"/>
      <c r="H10" s="12"/>
      <c r="I10" s="12"/>
      <c r="J10" s="12"/>
      <c r="K10" s="12"/>
      <c r="L10" s="12"/>
      <c r="M10" s="12"/>
      <c r="N10" s="12"/>
      <c r="O10" s="12"/>
      <c r="P10" s="12"/>
    </row>
    <row r="11" spans="5:16" x14ac:dyDescent="0.25">
      <c r="E11" s="12">
        <v>95</v>
      </c>
      <c r="F11" s="12"/>
      <c r="G11" s="12"/>
      <c r="H11" s="12"/>
      <c r="I11" s="12"/>
      <c r="J11" s="12"/>
      <c r="K11" s="12"/>
      <c r="L11" s="12"/>
      <c r="M11" s="12"/>
      <c r="N11" s="12"/>
      <c r="O11" s="12"/>
      <c r="P11" s="12"/>
    </row>
    <row r="12" spans="5:16" x14ac:dyDescent="0.25">
      <c r="E12" s="12">
        <v>90</v>
      </c>
      <c r="F12" s="12"/>
      <c r="G12" s="12"/>
      <c r="H12" s="12"/>
      <c r="I12" s="12"/>
      <c r="J12" s="12"/>
      <c r="K12" s="12"/>
      <c r="L12" s="12"/>
      <c r="M12" s="12"/>
      <c r="N12" s="12"/>
      <c r="O12" s="12"/>
      <c r="P12" s="12"/>
    </row>
    <row r="13" spans="5:16" x14ac:dyDescent="0.25">
      <c r="E13" s="12">
        <v>85</v>
      </c>
      <c r="F13" s="12"/>
      <c r="G13" s="12"/>
      <c r="H13" s="12"/>
      <c r="I13" s="12"/>
      <c r="J13" s="12"/>
      <c r="K13" s="12"/>
      <c r="L13" s="12"/>
      <c r="M13" s="12"/>
      <c r="N13" s="12"/>
      <c r="O13" s="12"/>
      <c r="P13" s="12"/>
    </row>
    <row r="14" spans="5:16" x14ac:dyDescent="0.25">
      <c r="E14" s="12">
        <v>80</v>
      </c>
      <c r="F14" s="12"/>
      <c r="G14" s="12"/>
      <c r="H14" s="12"/>
      <c r="I14" s="12"/>
      <c r="J14" s="12"/>
      <c r="K14" s="12"/>
      <c r="L14" s="12"/>
      <c r="M14" s="12"/>
      <c r="N14" s="12"/>
      <c r="O14" s="12"/>
      <c r="P14" s="12"/>
    </row>
    <row r="15" spans="5:16" x14ac:dyDescent="0.25">
      <c r="E15" s="12">
        <v>75</v>
      </c>
      <c r="F15" s="12"/>
      <c r="G15" s="12"/>
      <c r="H15" s="12"/>
      <c r="I15" s="12"/>
      <c r="J15" s="12"/>
      <c r="K15" s="12"/>
      <c r="L15" s="12"/>
      <c r="M15" s="12"/>
      <c r="N15" s="12"/>
      <c r="O15" s="12"/>
      <c r="P15" s="12"/>
    </row>
    <row r="16" spans="5:16" x14ac:dyDescent="0.25">
      <c r="E16" s="12">
        <v>70</v>
      </c>
      <c r="F16" s="12"/>
      <c r="G16" s="12"/>
      <c r="H16" s="12"/>
      <c r="I16" s="12"/>
      <c r="J16" s="12"/>
      <c r="K16" s="12"/>
      <c r="L16" s="12"/>
      <c r="M16" s="12"/>
      <c r="N16" s="12"/>
      <c r="O16" s="12"/>
      <c r="P16" s="12"/>
    </row>
    <row r="17" spans="5:16" x14ac:dyDescent="0.25">
      <c r="E17" s="12">
        <v>65</v>
      </c>
      <c r="F17" s="12"/>
      <c r="G17" s="12"/>
      <c r="H17" s="12"/>
      <c r="I17" s="12"/>
      <c r="J17" s="12"/>
      <c r="K17" s="12"/>
      <c r="L17" s="12"/>
      <c r="M17" s="12"/>
      <c r="N17" s="12"/>
      <c r="O17" s="12"/>
      <c r="P17" s="12"/>
    </row>
    <row r="18" spans="5:16" x14ac:dyDescent="0.25">
      <c r="E18" s="12">
        <v>60</v>
      </c>
      <c r="F18" s="12"/>
      <c r="G18" s="12"/>
      <c r="H18" s="12"/>
      <c r="I18" s="12"/>
      <c r="J18" s="12"/>
      <c r="K18" s="12"/>
      <c r="L18" s="12"/>
      <c r="M18" s="12"/>
      <c r="N18" s="12"/>
      <c r="O18" s="12"/>
      <c r="P18" s="12"/>
    </row>
    <row r="19" spans="5:16" x14ac:dyDescent="0.25">
      <c r="E19" s="12">
        <v>55</v>
      </c>
      <c r="F19" s="12"/>
      <c r="G19" s="12"/>
      <c r="H19" s="12"/>
      <c r="I19" s="12"/>
      <c r="J19" s="12"/>
      <c r="K19" s="12"/>
      <c r="L19" s="12"/>
      <c r="M19" s="12"/>
      <c r="N19" s="12"/>
      <c r="O19" s="12"/>
      <c r="P19" s="12"/>
    </row>
    <row r="20" spans="5:16" x14ac:dyDescent="0.25">
      <c r="E20" s="12">
        <v>50</v>
      </c>
      <c r="F20" s="12"/>
      <c r="G20" s="12"/>
      <c r="H20" s="12"/>
      <c r="I20" s="12"/>
      <c r="J20" s="12"/>
      <c r="K20" s="12"/>
      <c r="L20" s="12"/>
      <c r="M20" s="12"/>
      <c r="N20" s="12"/>
      <c r="O20" s="12"/>
      <c r="P20" s="12"/>
    </row>
    <row r="21" spans="5:16" x14ac:dyDescent="0.25">
      <c r="E21" s="12"/>
      <c r="F21" s="12"/>
      <c r="G21" s="12"/>
      <c r="H21" s="12"/>
      <c r="I21" s="12"/>
      <c r="J21" s="12"/>
      <c r="K21" s="12"/>
      <c r="L21" s="12"/>
      <c r="M21" s="12"/>
      <c r="N21" s="12"/>
      <c r="O21" s="12"/>
      <c r="P21" s="12"/>
    </row>
    <row r="22" spans="5:16" x14ac:dyDescent="0.25">
      <c r="E22" s="12"/>
      <c r="F22" s="12"/>
      <c r="G22" s="12"/>
      <c r="H22" s="12"/>
      <c r="I22" s="12"/>
      <c r="J22" s="12"/>
      <c r="K22" s="12"/>
      <c r="L22" s="12"/>
      <c r="M22" s="12"/>
      <c r="N22" s="12"/>
      <c r="O22" s="12"/>
      <c r="P22" s="12"/>
    </row>
    <row r="23" spans="5:16" x14ac:dyDescent="0.25">
      <c r="E23" s="12"/>
      <c r="F23" s="14">
        <v>100</v>
      </c>
      <c r="G23" s="14">
        <v>200</v>
      </c>
      <c r="H23" s="14">
        <v>300</v>
      </c>
      <c r="I23" s="14">
        <v>400</v>
      </c>
      <c r="J23" s="14">
        <v>500</v>
      </c>
      <c r="K23" s="14">
        <v>600</v>
      </c>
      <c r="L23" s="14">
        <v>700</v>
      </c>
      <c r="M23" s="14">
        <v>800</v>
      </c>
      <c r="N23" s="14">
        <v>900</v>
      </c>
      <c r="O23" s="14">
        <v>1000</v>
      </c>
      <c r="P23" s="12"/>
    </row>
    <row r="24" spans="5:16" x14ac:dyDescent="0.25">
      <c r="E24" s="12"/>
      <c r="F24" s="12"/>
      <c r="G24" s="12"/>
      <c r="H24" s="12"/>
      <c r="I24" s="12"/>
      <c r="J24" s="26"/>
      <c r="K24" s="12"/>
      <c r="L24" s="12"/>
      <c r="M24" s="12"/>
      <c r="N24" s="12"/>
      <c r="O24" s="12"/>
      <c r="P24" s="12"/>
    </row>
    <row r="25" spans="5:16" x14ac:dyDescent="0.25">
      <c r="E25" s="12"/>
      <c r="F25" s="12"/>
      <c r="G25" s="12"/>
      <c r="H25" s="12"/>
      <c r="I25" s="12"/>
      <c r="J25" s="12"/>
      <c r="K25" s="12"/>
      <c r="L25" s="12"/>
      <c r="M25" s="12"/>
      <c r="N25" s="12"/>
      <c r="O25" s="12"/>
      <c r="P25"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136"/>
  <sheetViews>
    <sheetView zoomScale="115" zoomScaleNormal="115" workbookViewId="0">
      <selection activeCell="M12" sqref="M12"/>
    </sheetView>
  </sheetViews>
  <sheetFormatPr defaultRowHeight="15" x14ac:dyDescent="0.25"/>
  <cols>
    <col min="1" max="1" width="26.85546875" bestFit="1" customWidth="1"/>
    <col min="16" max="31" width="0" hidden="1" customWidth="1"/>
  </cols>
  <sheetData>
    <row r="1" spans="1:13" x14ac:dyDescent="0.25">
      <c r="B1" t="s">
        <v>1</v>
      </c>
      <c r="C1" t="s">
        <v>2</v>
      </c>
    </row>
    <row r="2" spans="1:13" x14ac:dyDescent="0.25">
      <c r="A2" t="s">
        <v>0</v>
      </c>
      <c r="B2">
        <v>100</v>
      </c>
      <c r="C2">
        <v>20000</v>
      </c>
    </row>
    <row r="3" spans="1:13" x14ac:dyDescent="0.25">
      <c r="A3" t="s">
        <v>5</v>
      </c>
      <c r="C3">
        <v>85</v>
      </c>
    </row>
    <row r="4" spans="1:13" x14ac:dyDescent="0.25">
      <c r="A4" t="s">
        <v>8</v>
      </c>
    </row>
    <row r="5" spans="1:13" x14ac:dyDescent="0.25">
      <c r="B5">
        <v>0</v>
      </c>
      <c r="C5">
        <v>250</v>
      </c>
      <c r="D5">
        <v>750</v>
      </c>
      <c r="E5">
        <v>1750</v>
      </c>
    </row>
    <row r="6" spans="1:13" x14ac:dyDescent="0.25">
      <c r="A6" t="s">
        <v>6</v>
      </c>
      <c r="B6">
        <v>1100</v>
      </c>
      <c r="C6">
        <v>960</v>
      </c>
      <c r="D6">
        <f>350*1.6</f>
        <v>560</v>
      </c>
      <c r="E6">
        <f>200*1.6</f>
        <v>320</v>
      </c>
    </row>
    <row r="7" spans="1:13" x14ac:dyDescent="0.25">
      <c r="A7" s="4" t="s">
        <v>78</v>
      </c>
      <c r="B7">
        <v>7.4999999999999997E-3</v>
      </c>
    </row>
    <row r="9" spans="1:13" x14ac:dyDescent="0.25">
      <c r="A9" t="s">
        <v>15</v>
      </c>
    </row>
    <row r="10" spans="1:13" x14ac:dyDescent="0.25">
      <c r="A10" t="s">
        <v>14</v>
      </c>
      <c r="B10" t="s">
        <v>3</v>
      </c>
    </row>
    <row r="11" spans="1:13" x14ac:dyDescent="0.25">
      <c r="A11" t="s">
        <v>4</v>
      </c>
      <c r="B11">
        <v>30</v>
      </c>
      <c r="C11">
        <f>B11+5</f>
        <v>35</v>
      </c>
      <c r="D11">
        <f t="shared" ref="D11:K11" si="0">C11+5</f>
        <v>40</v>
      </c>
      <c r="E11">
        <f t="shared" si="0"/>
        <v>45</v>
      </c>
      <c r="F11">
        <f t="shared" si="0"/>
        <v>50</v>
      </c>
      <c r="G11">
        <f t="shared" si="0"/>
        <v>55</v>
      </c>
      <c r="H11">
        <f t="shared" si="0"/>
        <v>60</v>
      </c>
      <c r="I11">
        <f t="shared" si="0"/>
        <v>65</v>
      </c>
      <c r="J11">
        <f t="shared" si="0"/>
        <v>70</v>
      </c>
      <c r="K11">
        <f t="shared" si="0"/>
        <v>75</v>
      </c>
      <c r="L11">
        <f t="shared" ref="L11:M11" si="1">K11+5</f>
        <v>80</v>
      </c>
      <c r="M11">
        <f t="shared" si="1"/>
        <v>85</v>
      </c>
    </row>
    <row r="12" spans="1:13" x14ac:dyDescent="0.25">
      <c r="A12">
        <v>0</v>
      </c>
      <c r="B12" s="1">
        <f>MIN(IF(B$11&lt;=$A12,0,68.455*(B$11-$A12)^-0.76),6.2)</f>
        <v>5.1617031095320156</v>
      </c>
      <c r="C12" s="1">
        <f t="shared" ref="C12:M27" si="2">MIN(IF(C$11&lt;=$A12,0,68.455*(C$11-$A12)^-0.76),6.2)</f>
        <v>4.5910652068340152</v>
      </c>
      <c r="D12" s="1">
        <f t="shared" si="2"/>
        <v>4.1480079624746224</v>
      </c>
      <c r="E12" s="1">
        <f t="shared" si="2"/>
        <v>3.7928325054005763</v>
      </c>
      <c r="F12" s="1">
        <f t="shared" si="2"/>
        <v>3.5009666320853023</v>
      </c>
      <c r="G12" s="1">
        <f t="shared" si="2"/>
        <v>3.2563384011895073</v>
      </c>
      <c r="H12" s="1">
        <f t="shared" si="2"/>
        <v>3.0479667464176496</v>
      </c>
      <c r="I12" s="1">
        <f t="shared" si="2"/>
        <v>2.8680784329213895</v>
      </c>
      <c r="J12" s="1">
        <f t="shared" si="2"/>
        <v>2.7110071587077096</v>
      </c>
      <c r="K12" s="1">
        <f t="shared" si="2"/>
        <v>2.5725191396565648</v>
      </c>
      <c r="L12" s="1">
        <f t="shared" si="2"/>
        <v>2.4493834816168953</v>
      </c>
      <c r="M12" s="1">
        <f t="shared" si="2"/>
        <v>2.3390892405192409</v>
      </c>
    </row>
    <row r="13" spans="1:13" x14ac:dyDescent="0.25">
      <c r="A13">
        <f>A12+5</f>
        <v>5</v>
      </c>
      <c r="B13" s="1">
        <f t="shared" ref="B13:M28" si="3">MIN(IF(B$11&lt;=$A13,0,68.455*(B$11-$A13)^-0.76),6.2)</f>
        <v>5.928854168911708</v>
      </c>
      <c r="C13" s="1">
        <f t="shared" si="2"/>
        <v>5.1617031095320156</v>
      </c>
      <c r="D13" s="1">
        <f t="shared" si="2"/>
        <v>4.5910652068340152</v>
      </c>
      <c r="E13" s="1">
        <f t="shared" si="2"/>
        <v>4.1480079624746224</v>
      </c>
      <c r="F13" s="1">
        <f t="shared" si="2"/>
        <v>3.7928325054005763</v>
      </c>
      <c r="G13" s="1">
        <f t="shared" si="2"/>
        <v>3.5009666320853023</v>
      </c>
      <c r="H13" s="1">
        <f t="shared" si="2"/>
        <v>3.2563384011895073</v>
      </c>
      <c r="I13" s="1">
        <f t="shared" si="2"/>
        <v>3.0479667464176496</v>
      </c>
      <c r="J13" s="1">
        <f t="shared" si="2"/>
        <v>2.8680784329213895</v>
      </c>
      <c r="K13" s="1">
        <f t="shared" si="2"/>
        <v>2.7110071587077096</v>
      </c>
      <c r="L13" s="1">
        <f t="shared" si="2"/>
        <v>2.5725191396565648</v>
      </c>
      <c r="M13" s="1">
        <f t="shared" si="2"/>
        <v>2.4493834816168953</v>
      </c>
    </row>
    <row r="14" spans="1:13" x14ac:dyDescent="0.25">
      <c r="A14">
        <f t="shared" ref="A14:A28" si="4">A13+5</f>
        <v>10</v>
      </c>
      <c r="B14" s="1">
        <f t="shared" si="3"/>
        <v>6.2</v>
      </c>
      <c r="C14" s="1">
        <f t="shared" si="2"/>
        <v>5.928854168911708</v>
      </c>
      <c r="D14" s="1">
        <f t="shared" si="2"/>
        <v>5.1617031095320156</v>
      </c>
      <c r="E14" s="1">
        <f t="shared" si="2"/>
        <v>4.5910652068340152</v>
      </c>
      <c r="F14" s="1">
        <f t="shared" si="2"/>
        <v>4.1480079624746224</v>
      </c>
      <c r="G14" s="1">
        <f t="shared" si="2"/>
        <v>3.7928325054005763</v>
      </c>
      <c r="H14" s="1">
        <f t="shared" si="2"/>
        <v>3.5009666320853023</v>
      </c>
      <c r="I14" s="1">
        <f t="shared" si="2"/>
        <v>3.2563384011895073</v>
      </c>
      <c r="J14" s="1">
        <f t="shared" si="2"/>
        <v>3.0479667464176496</v>
      </c>
      <c r="K14" s="1">
        <f t="shared" si="2"/>
        <v>2.8680784329213895</v>
      </c>
      <c r="L14" s="1">
        <f t="shared" si="2"/>
        <v>2.7110071587077096</v>
      </c>
      <c r="M14" s="1">
        <f t="shared" si="2"/>
        <v>2.5725191396565648</v>
      </c>
    </row>
    <row r="15" spans="1:13" x14ac:dyDescent="0.25">
      <c r="A15">
        <f t="shared" si="4"/>
        <v>15</v>
      </c>
      <c r="B15" s="1">
        <f t="shared" si="3"/>
        <v>6.2</v>
      </c>
      <c r="C15" s="1">
        <f t="shared" si="2"/>
        <v>6.2</v>
      </c>
      <c r="D15" s="1">
        <f t="shared" si="2"/>
        <v>5.928854168911708</v>
      </c>
      <c r="E15" s="1">
        <f t="shared" si="2"/>
        <v>5.1617031095320156</v>
      </c>
      <c r="F15" s="1">
        <f t="shared" si="2"/>
        <v>4.5910652068340152</v>
      </c>
      <c r="G15" s="1">
        <f t="shared" si="2"/>
        <v>4.1480079624746224</v>
      </c>
      <c r="H15" s="1">
        <f t="shared" si="2"/>
        <v>3.7928325054005763</v>
      </c>
      <c r="I15" s="1">
        <f t="shared" si="2"/>
        <v>3.5009666320853023</v>
      </c>
      <c r="J15" s="1">
        <f t="shared" si="2"/>
        <v>3.2563384011895073</v>
      </c>
      <c r="K15" s="1">
        <f t="shared" si="2"/>
        <v>3.0479667464176496</v>
      </c>
      <c r="L15" s="1">
        <f t="shared" si="2"/>
        <v>2.8680784329213895</v>
      </c>
      <c r="M15" s="1">
        <f t="shared" si="2"/>
        <v>2.7110071587077096</v>
      </c>
    </row>
    <row r="16" spans="1:13" x14ac:dyDescent="0.25">
      <c r="A16">
        <f t="shared" si="4"/>
        <v>20</v>
      </c>
      <c r="B16" s="1">
        <f t="shared" si="3"/>
        <v>6.2</v>
      </c>
      <c r="C16" s="1">
        <f t="shared" si="2"/>
        <v>6.2</v>
      </c>
      <c r="D16" s="1">
        <f t="shared" si="2"/>
        <v>6.2</v>
      </c>
      <c r="E16" s="1">
        <f t="shared" si="2"/>
        <v>5.928854168911708</v>
      </c>
      <c r="F16" s="1">
        <f t="shared" si="2"/>
        <v>5.1617031095320156</v>
      </c>
      <c r="G16" s="1">
        <f t="shared" si="2"/>
        <v>4.5910652068340152</v>
      </c>
      <c r="H16" s="1">
        <f t="shared" si="2"/>
        <v>4.1480079624746224</v>
      </c>
      <c r="I16" s="1">
        <f t="shared" si="2"/>
        <v>3.7928325054005763</v>
      </c>
      <c r="J16" s="1">
        <f t="shared" si="2"/>
        <v>3.5009666320853023</v>
      </c>
      <c r="K16" s="1">
        <f t="shared" si="2"/>
        <v>3.2563384011895073</v>
      </c>
      <c r="L16" s="1">
        <f t="shared" si="2"/>
        <v>3.0479667464176496</v>
      </c>
      <c r="M16" s="1">
        <f t="shared" si="2"/>
        <v>2.8680784329213895</v>
      </c>
    </row>
    <row r="17" spans="1:13" x14ac:dyDescent="0.25">
      <c r="A17">
        <f t="shared" si="4"/>
        <v>25</v>
      </c>
      <c r="B17" s="1">
        <f t="shared" si="3"/>
        <v>6.2</v>
      </c>
      <c r="C17" s="1">
        <f t="shared" si="2"/>
        <v>6.2</v>
      </c>
      <c r="D17" s="1">
        <f t="shared" si="2"/>
        <v>6.2</v>
      </c>
      <c r="E17" s="1">
        <f t="shared" si="2"/>
        <v>6.2</v>
      </c>
      <c r="F17" s="1">
        <f t="shared" si="2"/>
        <v>5.928854168911708</v>
      </c>
      <c r="G17" s="1">
        <f t="shared" si="2"/>
        <v>5.1617031095320156</v>
      </c>
      <c r="H17" s="1">
        <f t="shared" si="2"/>
        <v>4.5910652068340152</v>
      </c>
      <c r="I17" s="1">
        <f t="shared" si="2"/>
        <v>4.1480079624746224</v>
      </c>
      <c r="J17" s="1">
        <f t="shared" si="2"/>
        <v>3.7928325054005763</v>
      </c>
      <c r="K17" s="1">
        <f t="shared" si="2"/>
        <v>3.5009666320853023</v>
      </c>
      <c r="L17" s="1">
        <f t="shared" si="2"/>
        <v>3.2563384011895073</v>
      </c>
      <c r="M17" s="1">
        <f t="shared" si="2"/>
        <v>3.0479667464176496</v>
      </c>
    </row>
    <row r="18" spans="1:13" x14ac:dyDescent="0.25">
      <c r="A18">
        <f t="shared" si="4"/>
        <v>30</v>
      </c>
      <c r="B18" s="1">
        <f t="shared" si="3"/>
        <v>0</v>
      </c>
      <c r="C18" s="1">
        <f t="shared" si="2"/>
        <v>6.2</v>
      </c>
      <c r="D18" s="1">
        <f t="shared" si="2"/>
        <v>6.2</v>
      </c>
      <c r="E18" s="1">
        <f t="shared" si="2"/>
        <v>6.2</v>
      </c>
      <c r="F18" s="1">
        <f t="shared" si="2"/>
        <v>6.2</v>
      </c>
      <c r="G18" s="1">
        <f t="shared" si="2"/>
        <v>5.928854168911708</v>
      </c>
      <c r="H18" s="1">
        <f t="shared" si="2"/>
        <v>5.1617031095320156</v>
      </c>
      <c r="I18" s="1">
        <f t="shared" si="2"/>
        <v>4.5910652068340152</v>
      </c>
      <c r="J18" s="1">
        <f t="shared" si="2"/>
        <v>4.1480079624746224</v>
      </c>
      <c r="K18" s="1">
        <f t="shared" si="2"/>
        <v>3.7928325054005763</v>
      </c>
      <c r="L18" s="1">
        <f t="shared" si="2"/>
        <v>3.5009666320853023</v>
      </c>
      <c r="M18" s="1">
        <f t="shared" si="2"/>
        <v>3.2563384011895073</v>
      </c>
    </row>
    <row r="19" spans="1:13" x14ac:dyDescent="0.25">
      <c r="A19">
        <f t="shared" si="4"/>
        <v>35</v>
      </c>
      <c r="B19" s="1">
        <f t="shared" si="3"/>
        <v>0</v>
      </c>
      <c r="C19" s="1">
        <f t="shared" si="2"/>
        <v>0</v>
      </c>
      <c r="D19" s="1">
        <f t="shared" si="2"/>
        <v>6.2</v>
      </c>
      <c r="E19" s="1">
        <f t="shared" si="2"/>
        <v>6.2</v>
      </c>
      <c r="F19" s="1">
        <f t="shared" si="2"/>
        <v>6.2</v>
      </c>
      <c r="G19" s="1">
        <f t="shared" si="2"/>
        <v>6.2</v>
      </c>
      <c r="H19" s="1">
        <f t="shared" si="2"/>
        <v>5.928854168911708</v>
      </c>
      <c r="I19" s="1">
        <f t="shared" si="2"/>
        <v>5.1617031095320156</v>
      </c>
      <c r="J19" s="1">
        <f t="shared" si="2"/>
        <v>4.5910652068340152</v>
      </c>
      <c r="K19" s="1">
        <f t="shared" si="2"/>
        <v>4.1480079624746224</v>
      </c>
      <c r="L19" s="1">
        <f t="shared" si="2"/>
        <v>3.7928325054005763</v>
      </c>
      <c r="M19" s="1">
        <f t="shared" si="2"/>
        <v>3.5009666320853023</v>
      </c>
    </row>
    <row r="20" spans="1:13" x14ac:dyDescent="0.25">
      <c r="A20">
        <f t="shared" si="4"/>
        <v>40</v>
      </c>
      <c r="B20" s="1">
        <f t="shared" si="3"/>
        <v>0</v>
      </c>
      <c r="C20" s="1">
        <f t="shared" si="2"/>
        <v>0</v>
      </c>
      <c r="D20" s="1">
        <f t="shared" si="2"/>
        <v>0</v>
      </c>
      <c r="E20" s="1">
        <f t="shared" si="2"/>
        <v>6.2</v>
      </c>
      <c r="F20" s="1">
        <f t="shared" si="2"/>
        <v>6.2</v>
      </c>
      <c r="G20" s="1">
        <f t="shared" si="2"/>
        <v>6.2</v>
      </c>
      <c r="H20" s="1">
        <f t="shared" si="2"/>
        <v>6.2</v>
      </c>
      <c r="I20" s="1">
        <f t="shared" si="2"/>
        <v>5.928854168911708</v>
      </c>
      <c r="J20" s="1">
        <f t="shared" si="2"/>
        <v>5.1617031095320156</v>
      </c>
      <c r="K20" s="1">
        <f t="shared" si="2"/>
        <v>4.5910652068340152</v>
      </c>
      <c r="L20" s="1">
        <f t="shared" si="2"/>
        <v>4.1480079624746224</v>
      </c>
      <c r="M20" s="1">
        <f t="shared" si="2"/>
        <v>3.7928325054005763</v>
      </c>
    </row>
    <row r="21" spans="1:13" x14ac:dyDescent="0.25">
      <c r="A21">
        <f t="shared" si="4"/>
        <v>45</v>
      </c>
      <c r="B21" s="1">
        <f t="shared" si="3"/>
        <v>0</v>
      </c>
      <c r="C21" s="1">
        <f t="shared" si="2"/>
        <v>0</v>
      </c>
      <c r="D21" s="1">
        <f t="shared" si="2"/>
        <v>0</v>
      </c>
      <c r="E21" s="1">
        <f t="shared" si="2"/>
        <v>0</v>
      </c>
      <c r="F21" s="1">
        <f t="shared" si="2"/>
        <v>6.2</v>
      </c>
      <c r="G21" s="1">
        <f t="shared" si="2"/>
        <v>6.2</v>
      </c>
      <c r="H21" s="1">
        <f t="shared" si="2"/>
        <v>6.2</v>
      </c>
      <c r="I21" s="1">
        <f t="shared" si="2"/>
        <v>6.2</v>
      </c>
      <c r="J21" s="1">
        <f t="shared" si="2"/>
        <v>5.928854168911708</v>
      </c>
      <c r="K21" s="1">
        <f t="shared" si="2"/>
        <v>5.1617031095320156</v>
      </c>
      <c r="L21" s="1">
        <f t="shared" si="2"/>
        <v>4.5910652068340152</v>
      </c>
      <c r="M21" s="1">
        <f t="shared" si="2"/>
        <v>4.1480079624746224</v>
      </c>
    </row>
    <row r="22" spans="1:13" x14ac:dyDescent="0.25">
      <c r="A22">
        <f t="shared" si="4"/>
        <v>50</v>
      </c>
      <c r="B22" s="1">
        <f t="shared" si="3"/>
        <v>0</v>
      </c>
      <c r="C22" s="1">
        <f t="shared" si="2"/>
        <v>0</v>
      </c>
      <c r="D22" s="1">
        <f t="shared" si="2"/>
        <v>0</v>
      </c>
      <c r="E22" s="1">
        <f t="shared" si="2"/>
        <v>0</v>
      </c>
      <c r="F22" s="1">
        <f t="shared" si="2"/>
        <v>0</v>
      </c>
      <c r="G22" s="1">
        <f t="shared" si="2"/>
        <v>6.2</v>
      </c>
      <c r="H22" s="1">
        <f t="shared" si="2"/>
        <v>6.2</v>
      </c>
      <c r="I22" s="1">
        <f t="shared" si="2"/>
        <v>6.2</v>
      </c>
      <c r="J22" s="1">
        <f t="shared" si="2"/>
        <v>6.2</v>
      </c>
      <c r="K22" s="1">
        <f t="shared" si="2"/>
        <v>5.928854168911708</v>
      </c>
      <c r="L22" s="1">
        <f t="shared" si="2"/>
        <v>5.1617031095320156</v>
      </c>
      <c r="M22" s="1">
        <f t="shared" si="2"/>
        <v>4.5910652068340152</v>
      </c>
    </row>
    <row r="23" spans="1:13" x14ac:dyDescent="0.25">
      <c r="A23">
        <f t="shared" si="4"/>
        <v>55</v>
      </c>
      <c r="B23" s="1">
        <f t="shared" si="3"/>
        <v>0</v>
      </c>
      <c r="C23" s="1">
        <f t="shared" si="2"/>
        <v>0</v>
      </c>
      <c r="D23" s="1">
        <f t="shared" si="2"/>
        <v>0</v>
      </c>
      <c r="E23" s="1">
        <f t="shared" si="2"/>
        <v>0</v>
      </c>
      <c r="F23" s="1">
        <f t="shared" si="2"/>
        <v>0</v>
      </c>
      <c r="G23" s="1">
        <f t="shared" si="2"/>
        <v>0</v>
      </c>
      <c r="H23" s="1">
        <f t="shared" si="2"/>
        <v>6.2</v>
      </c>
      <c r="I23" s="1">
        <f t="shared" si="2"/>
        <v>6.2</v>
      </c>
      <c r="J23" s="1">
        <f t="shared" si="2"/>
        <v>6.2</v>
      </c>
      <c r="K23" s="1">
        <f t="shared" si="2"/>
        <v>6.2</v>
      </c>
      <c r="L23" s="1">
        <f t="shared" si="2"/>
        <v>5.928854168911708</v>
      </c>
      <c r="M23" s="1">
        <f t="shared" si="2"/>
        <v>5.1617031095320156</v>
      </c>
    </row>
    <row r="24" spans="1:13" x14ac:dyDescent="0.25">
      <c r="A24">
        <f t="shared" si="4"/>
        <v>60</v>
      </c>
      <c r="B24" s="1">
        <f t="shared" si="3"/>
        <v>0</v>
      </c>
      <c r="C24" s="1">
        <f t="shared" si="2"/>
        <v>0</v>
      </c>
      <c r="D24" s="1">
        <f t="shared" si="2"/>
        <v>0</v>
      </c>
      <c r="E24" s="1">
        <f t="shared" si="2"/>
        <v>0</v>
      </c>
      <c r="F24" s="1">
        <f t="shared" si="2"/>
        <v>0</v>
      </c>
      <c r="G24" s="1">
        <f t="shared" si="2"/>
        <v>0</v>
      </c>
      <c r="H24" s="1">
        <f t="shared" si="2"/>
        <v>0</v>
      </c>
      <c r="I24" s="1">
        <f t="shared" si="2"/>
        <v>6.2</v>
      </c>
      <c r="J24" s="1">
        <f t="shared" si="2"/>
        <v>6.2</v>
      </c>
      <c r="K24" s="1">
        <f t="shared" si="2"/>
        <v>6.2</v>
      </c>
      <c r="L24" s="1">
        <f t="shared" si="2"/>
        <v>6.2</v>
      </c>
      <c r="M24" s="1">
        <f t="shared" si="2"/>
        <v>5.928854168911708</v>
      </c>
    </row>
    <row r="25" spans="1:13" x14ac:dyDescent="0.25">
      <c r="A25">
        <f t="shared" si="4"/>
        <v>65</v>
      </c>
      <c r="B25" s="1">
        <f t="shared" si="3"/>
        <v>0</v>
      </c>
      <c r="C25" s="1">
        <f t="shared" si="2"/>
        <v>0</v>
      </c>
      <c r="D25" s="1">
        <f t="shared" si="2"/>
        <v>0</v>
      </c>
      <c r="E25" s="1">
        <f t="shared" si="2"/>
        <v>0</v>
      </c>
      <c r="F25" s="1">
        <f t="shared" si="2"/>
        <v>0</v>
      </c>
      <c r="G25" s="1">
        <f t="shared" si="2"/>
        <v>0</v>
      </c>
      <c r="H25" s="1">
        <f t="shared" si="2"/>
        <v>0</v>
      </c>
      <c r="I25" s="1">
        <f t="shared" si="2"/>
        <v>0</v>
      </c>
      <c r="J25" s="1">
        <f t="shared" si="2"/>
        <v>6.2</v>
      </c>
      <c r="K25" s="1">
        <f t="shared" si="2"/>
        <v>6.2</v>
      </c>
      <c r="L25" s="1">
        <f t="shared" si="2"/>
        <v>6.2</v>
      </c>
      <c r="M25" s="1">
        <f t="shared" si="2"/>
        <v>6.2</v>
      </c>
    </row>
    <row r="26" spans="1:13" x14ac:dyDescent="0.25">
      <c r="A26">
        <f t="shared" si="4"/>
        <v>70</v>
      </c>
      <c r="B26" s="1">
        <f t="shared" si="3"/>
        <v>0</v>
      </c>
      <c r="C26" s="1">
        <f t="shared" si="2"/>
        <v>0</v>
      </c>
      <c r="D26" s="1">
        <f t="shared" si="2"/>
        <v>0</v>
      </c>
      <c r="E26" s="1">
        <f t="shared" si="2"/>
        <v>0</v>
      </c>
      <c r="F26" s="1">
        <f t="shared" si="2"/>
        <v>0</v>
      </c>
      <c r="G26" s="1">
        <f t="shared" si="2"/>
        <v>0</v>
      </c>
      <c r="H26" s="1">
        <f t="shared" si="2"/>
        <v>0</v>
      </c>
      <c r="I26" s="1">
        <f t="shared" si="2"/>
        <v>0</v>
      </c>
      <c r="J26" s="1">
        <f t="shared" si="2"/>
        <v>0</v>
      </c>
      <c r="K26" s="1">
        <f t="shared" si="2"/>
        <v>6.2</v>
      </c>
      <c r="L26" s="1">
        <f t="shared" si="2"/>
        <v>6.2</v>
      </c>
      <c r="M26" s="1">
        <f t="shared" si="2"/>
        <v>6.2</v>
      </c>
    </row>
    <row r="27" spans="1:13" x14ac:dyDescent="0.25">
      <c r="A27">
        <f t="shared" si="4"/>
        <v>75</v>
      </c>
      <c r="B27" s="1">
        <f t="shared" si="3"/>
        <v>0</v>
      </c>
      <c r="C27" s="1">
        <f t="shared" si="2"/>
        <v>0</v>
      </c>
      <c r="D27" s="1">
        <f t="shared" si="2"/>
        <v>0</v>
      </c>
      <c r="E27" s="1">
        <f t="shared" si="2"/>
        <v>0</v>
      </c>
      <c r="F27" s="1">
        <f t="shared" si="2"/>
        <v>0</v>
      </c>
      <c r="G27" s="1">
        <f t="shared" si="2"/>
        <v>0</v>
      </c>
      <c r="H27" s="1">
        <f t="shared" si="2"/>
        <v>0</v>
      </c>
      <c r="I27" s="1">
        <f t="shared" si="2"/>
        <v>0</v>
      </c>
      <c r="J27" s="1">
        <f t="shared" si="2"/>
        <v>0</v>
      </c>
      <c r="K27" s="1">
        <f t="shared" si="2"/>
        <v>0</v>
      </c>
      <c r="L27" s="1">
        <f t="shared" si="2"/>
        <v>6.2</v>
      </c>
      <c r="M27" s="1">
        <f t="shared" si="2"/>
        <v>6.2</v>
      </c>
    </row>
    <row r="28" spans="1:13" x14ac:dyDescent="0.25">
      <c r="A28">
        <f t="shared" si="4"/>
        <v>80</v>
      </c>
      <c r="B28" s="1">
        <f t="shared" si="3"/>
        <v>0</v>
      </c>
      <c r="C28" s="1">
        <f t="shared" si="3"/>
        <v>0</v>
      </c>
      <c r="D28" s="1">
        <f t="shared" si="3"/>
        <v>0</v>
      </c>
      <c r="E28" s="1">
        <f t="shared" si="3"/>
        <v>0</v>
      </c>
      <c r="F28" s="1">
        <f t="shared" si="3"/>
        <v>0</v>
      </c>
      <c r="G28" s="1">
        <f t="shared" si="3"/>
        <v>0</v>
      </c>
      <c r="H28" s="1">
        <f t="shared" si="3"/>
        <v>0</v>
      </c>
      <c r="I28" s="1">
        <f t="shared" si="3"/>
        <v>0</v>
      </c>
      <c r="J28" s="1">
        <f t="shared" si="3"/>
        <v>0</v>
      </c>
      <c r="K28" s="1">
        <f t="shared" si="3"/>
        <v>0</v>
      </c>
      <c r="L28" s="1">
        <f t="shared" si="3"/>
        <v>0</v>
      </c>
      <c r="M28" s="1">
        <f t="shared" si="3"/>
        <v>6.2</v>
      </c>
    </row>
    <row r="29" spans="1:13" x14ac:dyDescent="0.25">
      <c r="A29">
        <f>A28+5</f>
        <v>85</v>
      </c>
      <c r="B29" s="1">
        <f t="shared" ref="B29:M29" si="5">MIN(IF(B$11&lt;=$A29,0,68.455*(B$11-$A29)^-0.76),6.2)</f>
        <v>0</v>
      </c>
      <c r="C29" s="1">
        <f t="shared" si="5"/>
        <v>0</v>
      </c>
      <c r="D29" s="1">
        <f t="shared" si="5"/>
        <v>0</v>
      </c>
      <c r="E29" s="1">
        <f t="shared" si="5"/>
        <v>0</v>
      </c>
      <c r="F29" s="1">
        <f t="shared" si="5"/>
        <v>0</v>
      </c>
      <c r="G29" s="1">
        <f t="shared" si="5"/>
        <v>0</v>
      </c>
      <c r="H29" s="1">
        <f t="shared" si="5"/>
        <v>0</v>
      </c>
      <c r="I29" s="1">
        <f t="shared" si="5"/>
        <v>0</v>
      </c>
      <c r="J29" s="1">
        <f t="shared" si="5"/>
        <v>0</v>
      </c>
      <c r="K29" s="1">
        <f t="shared" si="5"/>
        <v>0</v>
      </c>
      <c r="L29" s="1">
        <f t="shared" si="5"/>
        <v>0</v>
      </c>
      <c r="M29" s="1">
        <f t="shared" si="5"/>
        <v>0</v>
      </c>
    </row>
    <row r="31" spans="1:13" x14ac:dyDescent="0.25">
      <c r="A31" t="s">
        <v>16</v>
      </c>
      <c r="B31" t="s">
        <v>9</v>
      </c>
    </row>
    <row r="32" spans="1:13" x14ac:dyDescent="0.25">
      <c r="A32" t="s">
        <v>4</v>
      </c>
      <c r="B32">
        <v>-10</v>
      </c>
      <c r="C32">
        <f>B32+5</f>
        <v>-5</v>
      </c>
      <c r="D32">
        <f t="shared" ref="D32:M32" si="6">C32+5</f>
        <v>0</v>
      </c>
      <c r="E32">
        <f t="shared" si="6"/>
        <v>5</v>
      </c>
      <c r="F32">
        <f t="shared" si="6"/>
        <v>10</v>
      </c>
      <c r="G32">
        <f t="shared" si="6"/>
        <v>15</v>
      </c>
      <c r="H32">
        <f t="shared" si="6"/>
        <v>20</v>
      </c>
      <c r="I32">
        <f t="shared" si="6"/>
        <v>25</v>
      </c>
      <c r="J32">
        <f t="shared" si="6"/>
        <v>30</v>
      </c>
      <c r="K32">
        <f t="shared" si="6"/>
        <v>35</v>
      </c>
      <c r="L32">
        <f t="shared" si="6"/>
        <v>40</v>
      </c>
      <c r="M32">
        <f t="shared" si="6"/>
        <v>45</v>
      </c>
    </row>
    <row r="33" spans="1:20" x14ac:dyDescent="0.25">
      <c r="A33">
        <v>0</v>
      </c>
      <c r="B33" s="1">
        <v>1.8</v>
      </c>
      <c r="C33" s="1">
        <v>1.9</v>
      </c>
      <c r="D33" s="1">
        <f t="shared" ref="D33:M42" si="7">MIN(IF($A33&lt;=D$32,0,68.455*($A33-D$32)^-0.76-1.5),3)</f>
        <v>0</v>
      </c>
      <c r="E33" s="1">
        <f t="shared" si="7"/>
        <v>0</v>
      </c>
      <c r="F33" s="1">
        <f t="shared" si="7"/>
        <v>0</v>
      </c>
      <c r="G33" s="1">
        <f t="shared" si="7"/>
        <v>0</v>
      </c>
      <c r="H33" s="1">
        <f t="shared" si="7"/>
        <v>0</v>
      </c>
      <c r="I33" s="1">
        <f t="shared" si="7"/>
        <v>0</v>
      </c>
      <c r="J33" s="1">
        <f t="shared" si="7"/>
        <v>0</v>
      </c>
      <c r="K33" s="1">
        <f t="shared" si="7"/>
        <v>0</v>
      </c>
      <c r="L33" s="1">
        <f t="shared" si="7"/>
        <v>0</v>
      </c>
      <c r="M33" s="1">
        <f t="shared" si="7"/>
        <v>0</v>
      </c>
      <c r="P33" s="1"/>
      <c r="Q33" s="1"/>
    </row>
    <row r="34" spans="1:20" x14ac:dyDescent="0.25">
      <c r="A34">
        <f>A33+5</f>
        <v>5</v>
      </c>
      <c r="B34" s="1">
        <f>B33</f>
        <v>1.8</v>
      </c>
      <c r="C34" s="1">
        <f>C33</f>
        <v>1.9</v>
      </c>
      <c r="D34" s="1">
        <v>2</v>
      </c>
      <c r="E34" s="1">
        <f t="shared" si="7"/>
        <v>0</v>
      </c>
      <c r="F34" s="1">
        <f t="shared" si="7"/>
        <v>0</v>
      </c>
      <c r="G34" s="1">
        <f t="shared" si="7"/>
        <v>0</v>
      </c>
      <c r="H34" s="1">
        <f t="shared" si="7"/>
        <v>0</v>
      </c>
      <c r="I34" s="1">
        <f t="shared" si="7"/>
        <v>0</v>
      </c>
      <c r="J34" s="1">
        <f t="shared" si="7"/>
        <v>0</v>
      </c>
      <c r="K34" s="1">
        <f t="shared" si="7"/>
        <v>0</v>
      </c>
      <c r="L34" s="1">
        <f t="shared" si="7"/>
        <v>0</v>
      </c>
      <c r="M34" s="1">
        <f t="shared" si="7"/>
        <v>0</v>
      </c>
      <c r="P34" s="1"/>
      <c r="Q34" s="1"/>
      <c r="R34" s="1"/>
    </row>
    <row r="35" spans="1:20" x14ac:dyDescent="0.25">
      <c r="A35">
        <f t="shared" ref="A35:A49" si="8">A34+5</f>
        <v>10</v>
      </c>
      <c r="B35" s="1">
        <f t="shared" ref="B35:B50" si="9">B34</f>
        <v>1.8</v>
      </c>
      <c r="C35" s="1">
        <f t="shared" ref="C35:C50" si="10">C34</f>
        <v>1.9</v>
      </c>
      <c r="D35" s="1">
        <f>D34</f>
        <v>2</v>
      </c>
      <c r="E35" s="1">
        <v>2.1</v>
      </c>
      <c r="F35" s="1">
        <f t="shared" si="7"/>
        <v>0</v>
      </c>
      <c r="G35" s="1">
        <f t="shared" si="7"/>
        <v>0</v>
      </c>
      <c r="H35" s="1">
        <f t="shared" si="7"/>
        <v>0</v>
      </c>
      <c r="I35" s="1">
        <f t="shared" si="7"/>
        <v>0</v>
      </c>
      <c r="J35" s="1">
        <f t="shared" si="7"/>
        <v>0</v>
      </c>
      <c r="K35" s="1">
        <f t="shared" si="7"/>
        <v>0</v>
      </c>
      <c r="L35" s="1">
        <f t="shared" si="7"/>
        <v>0</v>
      </c>
      <c r="M35" s="1">
        <f t="shared" si="7"/>
        <v>0</v>
      </c>
      <c r="P35" s="1"/>
      <c r="Q35" s="1"/>
      <c r="R35" s="1"/>
      <c r="S35" s="1"/>
    </row>
    <row r="36" spans="1:20" x14ac:dyDescent="0.25">
      <c r="A36">
        <f t="shared" si="8"/>
        <v>15</v>
      </c>
      <c r="B36" s="1">
        <f t="shared" si="9"/>
        <v>1.8</v>
      </c>
      <c r="C36" s="1">
        <f t="shared" si="10"/>
        <v>1.9</v>
      </c>
      <c r="D36" s="1">
        <f t="shared" ref="D36:D50" si="11">D35</f>
        <v>2</v>
      </c>
      <c r="E36" s="1">
        <f>E35</f>
        <v>2.1</v>
      </c>
      <c r="F36" s="1">
        <v>2.2999999999999998</v>
      </c>
      <c r="G36" s="1">
        <f t="shared" si="7"/>
        <v>0</v>
      </c>
      <c r="H36" s="1">
        <f t="shared" si="7"/>
        <v>0</v>
      </c>
      <c r="I36" s="1">
        <f t="shared" si="7"/>
        <v>0</v>
      </c>
      <c r="J36" s="1">
        <f t="shared" si="7"/>
        <v>0</v>
      </c>
      <c r="K36" s="1">
        <f t="shared" si="7"/>
        <v>0</v>
      </c>
      <c r="L36" s="1">
        <f t="shared" si="7"/>
        <v>0</v>
      </c>
      <c r="M36" s="1">
        <f t="shared" si="7"/>
        <v>0</v>
      </c>
      <c r="P36" s="1"/>
      <c r="Q36" s="1"/>
      <c r="R36" s="1"/>
      <c r="S36" s="1"/>
      <c r="T36" s="1"/>
    </row>
    <row r="37" spans="1:20" x14ac:dyDescent="0.25">
      <c r="A37">
        <f t="shared" si="8"/>
        <v>20</v>
      </c>
      <c r="B37" s="1">
        <f t="shared" si="9"/>
        <v>1.8</v>
      </c>
      <c r="C37" s="1">
        <f t="shared" si="10"/>
        <v>1.9</v>
      </c>
      <c r="D37" s="1">
        <f t="shared" si="11"/>
        <v>2</v>
      </c>
      <c r="E37" s="1">
        <f t="shared" ref="E37:E50" si="12">E36</f>
        <v>2.1</v>
      </c>
      <c r="F37" s="1">
        <f>F36</f>
        <v>2.2999999999999998</v>
      </c>
      <c r="G37" s="1">
        <v>2.8</v>
      </c>
      <c r="H37" s="1">
        <f t="shared" si="7"/>
        <v>0</v>
      </c>
      <c r="I37" s="1">
        <f t="shared" si="7"/>
        <v>0</v>
      </c>
      <c r="J37" s="1">
        <f t="shared" si="7"/>
        <v>0</v>
      </c>
      <c r="K37" s="1">
        <f t="shared" si="7"/>
        <v>0</v>
      </c>
      <c r="L37" s="1">
        <f t="shared" si="7"/>
        <v>0</v>
      </c>
      <c r="M37" s="1">
        <f t="shared" si="7"/>
        <v>0</v>
      </c>
      <c r="P37" s="1"/>
      <c r="Q37" s="1"/>
      <c r="R37" s="1"/>
      <c r="S37" s="1"/>
      <c r="T37" s="1"/>
    </row>
    <row r="38" spans="1:20" x14ac:dyDescent="0.25">
      <c r="A38">
        <f t="shared" si="8"/>
        <v>25</v>
      </c>
      <c r="B38" s="1">
        <f t="shared" si="9"/>
        <v>1.8</v>
      </c>
      <c r="C38" s="1">
        <f t="shared" si="10"/>
        <v>1.9</v>
      </c>
      <c r="D38" s="1">
        <f t="shared" si="11"/>
        <v>2</v>
      </c>
      <c r="E38" s="1">
        <f t="shared" si="12"/>
        <v>2.1</v>
      </c>
      <c r="F38" s="1">
        <f t="shared" ref="F38:F50" si="13">F37</f>
        <v>2.2999999999999998</v>
      </c>
      <c r="G38" s="1">
        <f>G37</f>
        <v>2.8</v>
      </c>
      <c r="H38" s="1">
        <v>3</v>
      </c>
      <c r="I38" s="1">
        <f t="shared" si="7"/>
        <v>0</v>
      </c>
      <c r="J38" s="1">
        <f t="shared" si="7"/>
        <v>0</v>
      </c>
      <c r="K38" s="1">
        <f t="shared" si="7"/>
        <v>0</v>
      </c>
      <c r="L38" s="1">
        <f t="shared" si="7"/>
        <v>0</v>
      </c>
      <c r="M38" s="1">
        <f t="shared" si="7"/>
        <v>0</v>
      </c>
      <c r="P38" s="1"/>
      <c r="Q38" s="1"/>
      <c r="R38" s="1"/>
      <c r="S38" s="1"/>
      <c r="T38" s="1"/>
    </row>
    <row r="39" spans="1:20" x14ac:dyDescent="0.25">
      <c r="A39">
        <f t="shared" si="8"/>
        <v>30</v>
      </c>
      <c r="B39" s="1">
        <f t="shared" si="9"/>
        <v>1.8</v>
      </c>
      <c r="C39" s="1">
        <f t="shared" si="10"/>
        <v>1.9</v>
      </c>
      <c r="D39" s="1">
        <f t="shared" si="11"/>
        <v>2</v>
      </c>
      <c r="E39" s="1">
        <f t="shared" si="12"/>
        <v>2.1</v>
      </c>
      <c r="F39" s="1">
        <f t="shared" si="13"/>
        <v>2.2999999999999998</v>
      </c>
      <c r="G39" s="1">
        <f t="shared" ref="G39:G50" si="14">G38</f>
        <v>2.8</v>
      </c>
      <c r="H39" s="1">
        <f>H38</f>
        <v>3</v>
      </c>
      <c r="I39" s="1">
        <v>2.8</v>
      </c>
      <c r="J39" s="1">
        <f t="shared" si="7"/>
        <v>0</v>
      </c>
      <c r="K39" s="1">
        <f t="shared" si="7"/>
        <v>0</v>
      </c>
      <c r="L39" s="1">
        <f t="shared" si="7"/>
        <v>0</v>
      </c>
      <c r="M39" s="1">
        <f t="shared" si="7"/>
        <v>0</v>
      </c>
      <c r="P39" s="1"/>
      <c r="Q39" s="1"/>
      <c r="R39" s="1"/>
      <c r="S39" s="1"/>
      <c r="T39" s="1"/>
    </row>
    <row r="40" spans="1:20" x14ac:dyDescent="0.25">
      <c r="A40">
        <f t="shared" si="8"/>
        <v>35</v>
      </c>
      <c r="B40" s="1">
        <f t="shared" si="9"/>
        <v>1.8</v>
      </c>
      <c r="C40" s="1">
        <f t="shared" si="10"/>
        <v>1.9</v>
      </c>
      <c r="D40" s="1">
        <f t="shared" si="11"/>
        <v>2</v>
      </c>
      <c r="E40" s="1">
        <f t="shared" si="12"/>
        <v>2.1</v>
      </c>
      <c r="F40" s="1">
        <f t="shared" si="13"/>
        <v>2.2999999999999998</v>
      </c>
      <c r="G40" s="1">
        <f t="shared" si="14"/>
        <v>2.8</v>
      </c>
      <c r="H40" s="1">
        <f t="shared" ref="H40:H50" si="15">H39</f>
        <v>3</v>
      </c>
      <c r="I40" s="1">
        <f>I39</f>
        <v>2.8</v>
      </c>
      <c r="J40" s="1">
        <v>2.5</v>
      </c>
      <c r="K40" s="1">
        <f t="shared" si="7"/>
        <v>0</v>
      </c>
      <c r="L40" s="1">
        <f t="shared" si="7"/>
        <v>0</v>
      </c>
      <c r="M40" s="1">
        <f t="shared" si="7"/>
        <v>0</v>
      </c>
      <c r="P40" s="1"/>
      <c r="Q40" s="1"/>
      <c r="R40" s="1"/>
      <c r="S40" s="1"/>
      <c r="T40" s="1"/>
    </row>
    <row r="41" spans="1:20" x14ac:dyDescent="0.25">
      <c r="A41">
        <f t="shared" si="8"/>
        <v>40</v>
      </c>
      <c r="B41" s="1">
        <f t="shared" si="9"/>
        <v>1.8</v>
      </c>
      <c r="C41" s="1">
        <f t="shared" si="10"/>
        <v>1.9</v>
      </c>
      <c r="D41" s="1">
        <f t="shared" si="11"/>
        <v>2</v>
      </c>
      <c r="E41" s="1">
        <f t="shared" si="12"/>
        <v>2.1</v>
      </c>
      <c r="F41" s="1">
        <f t="shared" si="13"/>
        <v>2.2999999999999998</v>
      </c>
      <c r="G41" s="1">
        <f t="shared" si="14"/>
        <v>2.8</v>
      </c>
      <c r="H41" s="1">
        <f t="shared" si="15"/>
        <v>3</v>
      </c>
      <c r="I41" s="1">
        <f t="shared" ref="I41:I50" si="16">I40</f>
        <v>2.8</v>
      </c>
      <c r="J41" s="1">
        <f>J40</f>
        <v>2.5</v>
      </c>
      <c r="K41" s="1">
        <v>2.2999999999999998</v>
      </c>
      <c r="L41" s="1">
        <f t="shared" si="7"/>
        <v>0</v>
      </c>
      <c r="M41" s="1">
        <f t="shared" si="7"/>
        <v>0</v>
      </c>
      <c r="P41" s="1"/>
      <c r="Q41" s="1"/>
      <c r="R41" s="1"/>
      <c r="S41" s="1"/>
      <c r="T41" s="1"/>
    </row>
    <row r="42" spans="1:20" x14ac:dyDescent="0.25">
      <c r="A42">
        <f t="shared" si="8"/>
        <v>45</v>
      </c>
      <c r="B42" s="1">
        <f t="shared" si="9"/>
        <v>1.8</v>
      </c>
      <c r="C42" s="1">
        <f t="shared" si="10"/>
        <v>1.9</v>
      </c>
      <c r="D42" s="1">
        <f t="shared" si="11"/>
        <v>2</v>
      </c>
      <c r="E42" s="1">
        <f t="shared" si="12"/>
        <v>2.1</v>
      </c>
      <c r="F42" s="1">
        <f t="shared" si="13"/>
        <v>2.2999999999999998</v>
      </c>
      <c r="G42" s="1">
        <f t="shared" si="14"/>
        <v>2.8</v>
      </c>
      <c r="H42" s="1">
        <f t="shared" si="15"/>
        <v>3</v>
      </c>
      <c r="I42" s="1">
        <f t="shared" si="16"/>
        <v>2.8</v>
      </c>
      <c r="J42" s="1">
        <f t="shared" ref="J42:J50" si="17">J41</f>
        <v>2.5</v>
      </c>
      <c r="K42" s="1">
        <v>2.2999999999999998</v>
      </c>
      <c r="L42" s="1">
        <v>2.2000000000000002</v>
      </c>
      <c r="M42" s="1">
        <f t="shared" si="7"/>
        <v>0</v>
      </c>
      <c r="P42" s="1"/>
      <c r="Q42" s="1"/>
      <c r="R42" s="1"/>
      <c r="S42" s="1"/>
      <c r="T42" s="1"/>
    </row>
    <row r="43" spans="1:20" x14ac:dyDescent="0.25">
      <c r="A43">
        <f t="shared" si="8"/>
        <v>50</v>
      </c>
      <c r="B43" s="1">
        <f t="shared" si="9"/>
        <v>1.8</v>
      </c>
      <c r="C43" s="1">
        <f t="shared" si="10"/>
        <v>1.9</v>
      </c>
      <c r="D43" s="1">
        <f t="shared" si="11"/>
        <v>2</v>
      </c>
      <c r="E43" s="1">
        <f t="shared" si="12"/>
        <v>2.1</v>
      </c>
      <c r="F43" s="1">
        <f t="shared" si="13"/>
        <v>2.2999999999999998</v>
      </c>
      <c r="G43" s="1">
        <f t="shared" si="14"/>
        <v>2.8</v>
      </c>
      <c r="H43" s="1">
        <f t="shared" si="15"/>
        <v>3</v>
      </c>
      <c r="I43" s="1">
        <f t="shared" si="16"/>
        <v>2.8</v>
      </c>
      <c r="J43" s="1">
        <f t="shared" si="17"/>
        <v>2.5</v>
      </c>
      <c r="K43" s="1">
        <v>2.2999999999999998</v>
      </c>
      <c r="L43" s="1">
        <v>2.2000000000000002</v>
      </c>
      <c r="M43" s="1">
        <v>2.2000000000000002</v>
      </c>
      <c r="P43" s="1"/>
      <c r="Q43" s="1"/>
      <c r="R43" s="1"/>
      <c r="S43" s="1"/>
      <c r="T43" s="1"/>
    </row>
    <row r="44" spans="1:20" x14ac:dyDescent="0.25">
      <c r="A44">
        <f t="shared" si="8"/>
        <v>55</v>
      </c>
      <c r="B44" s="1">
        <f t="shared" si="9"/>
        <v>1.8</v>
      </c>
      <c r="C44" s="1">
        <f t="shared" si="10"/>
        <v>1.9</v>
      </c>
      <c r="D44" s="1">
        <f t="shared" si="11"/>
        <v>2</v>
      </c>
      <c r="E44" s="1">
        <f t="shared" si="12"/>
        <v>2.1</v>
      </c>
      <c r="F44" s="1">
        <f t="shared" si="13"/>
        <v>2.2999999999999998</v>
      </c>
      <c r="G44" s="1">
        <f t="shared" si="14"/>
        <v>2.8</v>
      </c>
      <c r="H44" s="1">
        <f t="shared" si="15"/>
        <v>3</v>
      </c>
      <c r="I44" s="1">
        <f t="shared" si="16"/>
        <v>2.8</v>
      </c>
      <c r="J44" s="1">
        <f t="shared" si="17"/>
        <v>2.5</v>
      </c>
      <c r="K44" s="1">
        <v>2.2999999999999998</v>
      </c>
      <c r="L44" s="1">
        <v>2.2000000000000002</v>
      </c>
      <c r="M44" s="1">
        <v>2.2000000000000002</v>
      </c>
      <c r="P44" s="1"/>
      <c r="Q44" s="1"/>
      <c r="R44" s="1"/>
      <c r="S44" s="1"/>
      <c r="T44" s="1"/>
    </row>
    <row r="45" spans="1:20" x14ac:dyDescent="0.25">
      <c r="A45">
        <f t="shared" si="8"/>
        <v>60</v>
      </c>
      <c r="B45" s="1">
        <f t="shared" si="9"/>
        <v>1.8</v>
      </c>
      <c r="C45" s="1">
        <f t="shared" si="10"/>
        <v>1.9</v>
      </c>
      <c r="D45" s="1">
        <f t="shared" si="11"/>
        <v>2</v>
      </c>
      <c r="E45" s="1">
        <f t="shared" si="12"/>
        <v>2.1</v>
      </c>
      <c r="F45" s="1">
        <f t="shared" si="13"/>
        <v>2.2999999999999998</v>
      </c>
      <c r="G45" s="1">
        <f t="shared" si="14"/>
        <v>2.8</v>
      </c>
      <c r="H45" s="1">
        <f t="shared" si="15"/>
        <v>3</v>
      </c>
      <c r="I45" s="1">
        <f t="shared" si="16"/>
        <v>2.8</v>
      </c>
      <c r="J45" s="1">
        <f t="shared" si="17"/>
        <v>2.5</v>
      </c>
      <c r="K45" s="1">
        <v>2.2999999999999998</v>
      </c>
      <c r="L45" s="1">
        <v>2.2000000000000002</v>
      </c>
      <c r="M45" s="1">
        <v>2.2000000000000002</v>
      </c>
      <c r="P45" s="1"/>
      <c r="Q45" s="1"/>
      <c r="R45" s="1"/>
      <c r="S45" s="1"/>
      <c r="T45" s="1"/>
    </row>
    <row r="46" spans="1:20" x14ac:dyDescent="0.25">
      <c r="A46">
        <f t="shared" si="8"/>
        <v>65</v>
      </c>
      <c r="B46" s="1">
        <f t="shared" si="9"/>
        <v>1.8</v>
      </c>
      <c r="C46" s="1">
        <f t="shared" si="10"/>
        <v>1.9</v>
      </c>
      <c r="D46" s="1">
        <f t="shared" si="11"/>
        <v>2</v>
      </c>
      <c r="E46" s="1">
        <f t="shared" si="12"/>
        <v>2.1</v>
      </c>
      <c r="F46" s="1">
        <f t="shared" si="13"/>
        <v>2.2999999999999998</v>
      </c>
      <c r="G46" s="1">
        <f t="shared" si="14"/>
        <v>2.8</v>
      </c>
      <c r="H46" s="1">
        <f t="shared" si="15"/>
        <v>3</v>
      </c>
      <c r="I46" s="1">
        <f t="shared" si="16"/>
        <v>2.8</v>
      </c>
      <c r="J46" s="1">
        <f t="shared" si="17"/>
        <v>2.5</v>
      </c>
      <c r="K46" s="1">
        <v>2.2999999999999998</v>
      </c>
      <c r="L46" s="1">
        <v>2.2000000000000002</v>
      </c>
      <c r="M46" s="1">
        <v>2.2000000000000002</v>
      </c>
      <c r="P46" s="1"/>
      <c r="Q46" s="1"/>
      <c r="R46" s="1"/>
      <c r="S46" s="1"/>
      <c r="T46" s="1"/>
    </row>
    <row r="47" spans="1:20" x14ac:dyDescent="0.25">
      <c r="A47">
        <f t="shared" si="8"/>
        <v>70</v>
      </c>
      <c r="B47" s="1">
        <f t="shared" si="9"/>
        <v>1.8</v>
      </c>
      <c r="C47" s="1">
        <f t="shared" si="10"/>
        <v>1.9</v>
      </c>
      <c r="D47" s="1">
        <f t="shared" si="11"/>
        <v>2</v>
      </c>
      <c r="E47" s="1">
        <f t="shared" si="12"/>
        <v>2.1</v>
      </c>
      <c r="F47" s="1">
        <f t="shared" si="13"/>
        <v>2.2999999999999998</v>
      </c>
      <c r="G47" s="1">
        <f t="shared" si="14"/>
        <v>2.8</v>
      </c>
      <c r="H47" s="1">
        <f t="shared" si="15"/>
        <v>3</v>
      </c>
      <c r="I47" s="1">
        <f t="shared" si="16"/>
        <v>2.8</v>
      </c>
      <c r="J47" s="1">
        <f t="shared" si="17"/>
        <v>2.5</v>
      </c>
      <c r="K47" s="1">
        <v>2.2999999999999998</v>
      </c>
      <c r="L47" s="1">
        <v>2.2000000000000002</v>
      </c>
      <c r="M47" s="1">
        <v>2.2000000000000002</v>
      </c>
      <c r="P47" s="1"/>
      <c r="Q47" s="1"/>
      <c r="R47" s="1"/>
      <c r="S47" s="1"/>
      <c r="T47" s="1"/>
    </row>
    <row r="48" spans="1:20" x14ac:dyDescent="0.25">
      <c r="A48">
        <f t="shared" si="8"/>
        <v>75</v>
      </c>
      <c r="B48" s="1">
        <f t="shared" si="9"/>
        <v>1.8</v>
      </c>
      <c r="C48" s="1">
        <f t="shared" si="10"/>
        <v>1.9</v>
      </c>
      <c r="D48" s="1">
        <f t="shared" si="11"/>
        <v>2</v>
      </c>
      <c r="E48" s="1">
        <f t="shared" si="12"/>
        <v>2.1</v>
      </c>
      <c r="F48" s="1">
        <f t="shared" si="13"/>
        <v>2.2999999999999998</v>
      </c>
      <c r="G48" s="1">
        <f t="shared" si="14"/>
        <v>2.8</v>
      </c>
      <c r="H48" s="1">
        <f t="shared" si="15"/>
        <v>3</v>
      </c>
      <c r="I48" s="1">
        <f t="shared" si="16"/>
        <v>2.8</v>
      </c>
      <c r="J48" s="1">
        <f t="shared" si="17"/>
        <v>2.5</v>
      </c>
      <c r="K48" s="1">
        <v>2.2999999999999998</v>
      </c>
      <c r="L48" s="1">
        <v>2.2000000000000002</v>
      </c>
      <c r="M48" s="1">
        <v>2.2000000000000002</v>
      </c>
      <c r="P48" s="1"/>
      <c r="Q48" s="1"/>
      <c r="R48" s="1"/>
      <c r="S48" s="1"/>
      <c r="T48" s="1"/>
    </row>
    <row r="49" spans="1:20" x14ac:dyDescent="0.25">
      <c r="A49">
        <f t="shared" si="8"/>
        <v>80</v>
      </c>
      <c r="B49" s="1">
        <f t="shared" si="9"/>
        <v>1.8</v>
      </c>
      <c r="C49" s="1">
        <f t="shared" si="10"/>
        <v>1.9</v>
      </c>
      <c r="D49" s="1">
        <f t="shared" si="11"/>
        <v>2</v>
      </c>
      <c r="E49" s="1">
        <f t="shared" si="12"/>
        <v>2.1</v>
      </c>
      <c r="F49" s="1">
        <f t="shared" si="13"/>
        <v>2.2999999999999998</v>
      </c>
      <c r="G49" s="1">
        <f t="shared" si="14"/>
        <v>2.8</v>
      </c>
      <c r="H49" s="1">
        <f t="shared" si="15"/>
        <v>3</v>
      </c>
      <c r="I49" s="1">
        <f t="shared" si="16"/>
        <v>2.8</v>
      </c>
      <c r="J49" s="1">
        <f t="shared" si="17"/>
        <v>2.5</v>
      </c>
      <c r="K49" s="1">
        <v>2.2999999999999998</v>
      </c>
      <c r="L49" s="1">
        <v>2.2000000000000002</v>
      </c>
      <c r="M49" s="1">
        <v>2.2000000000000002</v>
      </c>
      <c r="P49" s="1"/>
      <c r="Q49" s="1"/>
      <c r="R49" s="1"/>
      <c r="S49" s="1"/>
      <c r="T49" s="1"/>
    </row>
    <row r="50" spans="1:20" x14ac:dyDescent="0.25">
      <c r="A50">
        <f>A49+5</f>
        <v>85</v>
      </c>
      <c r="B50" s="1">
        <f t="shared" si="9"/>
        <v>1.8</v>
      </c>
      <c r="C50" s="1">
        <f t="shared" si="10"/>
        <v>1.9</v>
      </c>
      <c r="D50" s="1">
        <f t="shared" si="11"/>
        <v>2</v>
      </c>
      <c r="E50" s="1">
        <f t="shared" si="12"/>
        <v>2.1</v>
      </c>
      <c r="F50" s="1">
        <f t="shared" si="13"/>
        <v>2.2999999999999998</v>
      </c>
      <c r="G50" s="1">
        <f t="shared" si="14"/>
        <v>2.8</v>
      </c>
      <c r="H50" s="1">
        <f t="shared" si="15"/>
        <v>3</v>
      </c>
      <c r="I50" s="1">
        <f t="shared" si="16"/>
        <v>2.8</v>
      </c>
      <c r="J50" s="1">
        <f t="shared" si="17"/>
        <v>2.5</v>
      </c>
      <c r="K50" s="1">
        <v>2.2999999999999998</v>
      </c>
      <c r="L50" s="1">
        <v>2.2000000000000002</v>
      </c>
      <c r="M50" s="1">
        <v>2.2000000000000002</v>
      </c>
      <c r="P50" s="1"/>
      <c r="Q50" s="1"/>
      <c r="R50" s="1"/>
      <c r="S50" s="1"/>
      <c r="T50" s="1"/>
    </row>
    <row r="52" spans="1:20" x14ac:dyDescent="0.25">
      <c r="A52" t="s">
        <v>17</v>
      </c>
      <c r="B52" t="s">
        <v>3</v>
      </c>
    </row>
    <row r="53" spans="1:20" x14ac:dyDescent="0.25">
      <c r="A53" t="s">
        <v>4</v>
      </c>
      <c r="B53">
        <v>30</v>
      </c>
      <c r="C53">
        <f>B53+5</f>
        <v>35</v>
      </c>
      <c r="D53">
        <f t="shared" ref="D53" si="18">C53+5</f>
        <v>40</v>
      </c>
      <c r="E53">
        <f t="shared" ref="E53" si="19">D53+5</f>
        <v>45</v>
      </c>
      <c r="F53">
        <f t="shared" ref="F53" si="20">E53+5</f>
        <v>50</v>
      </c>
      <c r="G53">
        <f t="shared" ref="G53" si="21">F53+5</f>
        <v>55</v>
      </c>
      <c r="H53">
        <f t="shared" ref="H53" si="22">G53+5</f>
        <v>60</v>
      </c>
      <c r="I53">
        <f t="shared" ref="I53" si="23">H53+5</f>
        <v>65</v>
      </c>
      <c r="J53">
        <f t="shared" ref="J53" si="24">I53+5</f>
        <v>70</v>
      </c>
      <c r="K53">
        <f t="shared" ref="K53" si="25">J53+5</f>
        <v>75</v>
      </c>
      <c r="L53">
        <f t="shared" ref="L53" si="26">K53+5</f>
        <v>80</v>
      </c>
      <c r="M53">
        <f t="shared" ref="M53" si="27">L53+5</f>
        <v>85</v>
      </c>
    </row>
    <row r="54" spans="1:20" x14ac:dyDescent="0.25">
      <c r="A54">
        <v>0</v>
      </c>
      <c r="B54" s="1">
        <f t="shared" ref="B54:M65" si="28">MIN(IF(B$53&lt;=$A54,0,68.455*(B$53-$A54)^-0.76),5.8-1.5)</f>
        <v>4.3</v>
      </c>
      <c r="C54" s="1">
        <f t="shared" si="28"/>
        <v>4.3</v>
      </c>
      <c r="D54" s="1">
        <f t="shared" si="28"/>
        <v>4.1480079624746224</v>
      </c>
      <c r="E54" s="1">
        <f t="shared" si="28"/>
        <v>3.7928325054005763</v>
      </c>
      <c r="F54" s="1">
        <f t="shared" si="28"/>
        <v>3.5009666320853023</v>
      </c>
      <c r="G54" s="1">
        <f t="shared" si="28"/>
        <v>3.2563384011895073</v>
      </c>
      <c r="H54" s="1">
        <f t="shared" si="28"/>
        <v>3.0479667464176496</v>
      </c>
      <c r="I54" s="1">
        <f t="shared" si="28"/>
        <v>2.8680784329213895</v>
      </c>
      <c r="J54" s="1">
        <f t="shared" si="28"/>
        <v>2.7110071587077096</v>
      </c>
      <c r="K54" s="1">
        <f t="shared" si="28"/>
        <v>2.5725191396565648</v>
      </c>
      <c r="L54" s="1">
        <f t="shared" si="28"/>
        <v>2.4493834816168953</v>
      </c>
      <c r="M54" s="1">
        <f t="shared" si="28"/>
        <v>2.3390892405192409</v>
      </c>
    </row>
    <row r="55" spans="1:20" x14ac:dyDescent="0.25">
      <c r="A55">
        <f>A54+5</f>
        <v>5</v>
      </c>
      <c r="B55" s="1">
        <f t="shared" si="28"/>
        <v>4.3</v>
      </c>
      <c r="C55" s="1">
        <f t="shared" si="28"/>
        <v>4.3</v>
      </c>
      <c r="D55" s="1">
        <f t="shared" si="28"/>
        <v>4.3</v>
      </c>
      <c r="E55" s="1">
        <f t="shared" si="28"/>
        <v>4.1480079624746224</v>
      </c>
      <c r="F55" s="1">
        <f t="shared" si="28"/>
        <v>3.7928325054005763</v>
      </c>
      <c r="G55" s="1">
        <f t="shared" si="28"/>
        <v>3.5009666320853023</v>
      </c>
      <c r="H55" s="1">
        <f t="shared" si="28"/>
        <v>3.2563384011895073</v>
      </c>
      <c r="I55" s="1">
        <f t="shared" si="28"/>
        <v>3.0479667464176496</v>
      </c>
      <c r="J55" s="1">
        <f t="shared" si="28"/>
        <v>2.8680784329213895</v>
      </c>
      <c r="K55" s="1">
        <f t="shared" si="28"/>
        <v>2.7110071587077096</v>
      </c>
      <c r="L55" s="1">
        <f t="shared" si="28"/>
        <v>2.5725191396565648</v>
      </c>
      <c r="M55" s="1">
        <f t="shared" si="28"/>
        <v>2.4493834816168953</v>
      </c>
    </row>
    <row r="56" spans="1:20" x14ac:dyDescent="0.25">
      <c r="A56">
        <f t="shared" ref="A56:A65" si="29">A55+5</f>
        <v>10</v>
      </c>
      <c r="B56" s="1">
        <f t="shared" si="28"/>
        <v>4.3</v>
      </c>
      <c r="C56" s="1">
        <f t="shared" si="28"/>
        <v>4.3</v>
      </c>
      <c r="D56" s="1">
        <f t="shared" si="28"/>
        <v>4.3</v>
      </c>
      <c r="E56" s="1">
        <f t="shared" si="28"/>
        <v>4.3</v>
      </c>
      <c r="F56" s="1">
        <f t="shared" si="28"/>
        <v>4.1480079624746224</v>
      </c>
      <c r="G56" s="1">
        <f t="shared" si="28"/>
        <v>3.7928325054005763</v>
      </c>
      <c r="H56" s="1">
        <f t="shared" si="28"/>
        <v>3.5009666320853023</v>
      </c>
      <c r="I56" s="1">
        <f t="shared" si="28"/>
        <v>3.2563384011895073</v>
      </c>
      <c r="J56" s="1">
        <f t="shared" si="28"/>
        <v>3.0479667464176496</v>
      </c>
      <c r="K56" s="1">
        <f t="shared" si="28"/>
        <v>2.8680784329213895</v>
      </c>
      <c r="L56" s="1">
        <f t="shared" si="28"/>
        <v>2.7110071587077096</v>
      </c>
      <c r="M56" s="1">
        <f t="shared" si="28"/>
        <v>2.5725191396565648</v>
      </c>
    </row>
    <row r="57" spans="1:20" x14ac:dyDescent="0.25">
      <c r="A57">
        <f t="shared" si="29"/>
        <v>15</v>
      </c>
      <c r="B57" s="1">
        <f t="shared" si="28"/>
        <v>4.3</v>
      </c>
      <c r="C57" s="1">
        <f t="shared" si="28"/>
        <v>4.3</v>
      </c>
      <c r="D57" s="1">
        <f t="shared" si="28"/>
        <v>4.3</v>
      </c>
      <c r="E57" s="1">
        <f t="shared" si="28"/>
        <v>4.3</v>
      </c>
      <c r="F57" s="1">
        <f t="shared" si="28"/>
        <v>4.3</v>
      </c>
      <c r="G57" s="1">
        <f t="shared" si="28"/>
        <v>4.1480079624746224</v>
      </c>
      <c r="H57" s="1">
        <f t="shared" si="28"/>
        <v>3.7928325054005763</v>
      </c>
      <c r="I57" s="1">
        <f t="shared" si="28"/>
        <v>3.5009666320853023</v>
      </c>
      <c r="J57" s="1">
        <f t="shared" si="28"/>
        <v>3.2563384011895073</v>
      </c>
      <c r="K57" s="1">
        <f t="shared" si="28"/>
        <v>3.0479667464176496</v>
      </c>
      <c r="L57" s="1">
        <f t="shared" si="28"/>
        <v>2.8680784329213895</v>
      </c>
      <c r="M57" s="1">
        <f t="shared" si="28"/>
        <v>2.7110071587077096</v>
      </c>
    </row>
    <row r="58" spans="1:20" x14ac:dyDescent="0.25">
      <c r="A58">
        <f t="shared" si="29"/>
        <v>20</v>
      </c>
      <c r="B58" s="1">
        <f t="shared" si="28"/>
        <v>4.3</v>
      </c>
      <c r="C58" s="1">
        <f t="shared" si="28"/>
        <v>4.3</v>
      </c>
      <c r="D58" s="1">
        <f t="shared" si="28"/>
        <v>4.3</v>
      </c>
      <c r="E58" s="1">
        <f t="shared" si="28"/>
        <v>4.3</v>
      </c>
      <c r="F58" s="1">
        <f t="shared" si="28"/>
        <v>4.3</v>
      </c>
      <c r="G58" s="1">
        <f t="shared" si="28"/>
        <v>4.3</v>
      </c>
      <c r="H58" s="1">
        <f t="shared" si="28"/>
        <v>4.1480079624746224</v>
      </c>
      <c r="I58" s="1">
        <f t="shared" si="28"/>
        <v>3.7928325054005763</v>
      </c>
      <c r="J58" s="1">
        <f t="shared" si="28"/>
        <v>3.5009666320853023</v>
      </c>
      <c r="K58" s="1">
        <f t="shared" si="28"/>
        <v>3.2563384011895073</v>
      </c>
      <c r="L58" s="1">
        <f t="shared" si="28"/>
        <v>3.0479667464176496</v>
      </c>
      <c r="M58" s="1">
        <f t="shared" si="28"/>
        <v>2.8680784329213895</v>
      </c>
    </row>
    <row r="59" spans="1:20" x14ac:dyDescent="0.25">
      <c r="A59">
        <f t="shared" si="29"/>
        <v>25</v>
      </c>
      <c r="B59" s="1">
        <f t="shared" si="28"/>
        <v>4.3</v>
      </c>
      <c r="C59" s="1">
        <f t="shared" si="28"/>
        <v>4.3</v>
      </c>
      <c r="D59" s="1">
        <f t="shared" si="28"/>
        <v>4.3</v>
      </c>
      <c r="E59" s="1">
        <f t="shared" si="28"/>
        <v>4.3</v>
      </c>
      <c r="F59" s="1">
        <f t="shared" si="28"/>
        <v>4.3</v>
      </c>
      <c r="G59" s="1">
        <f t="shared" si="28"/>
        <v>4.3</v>
      </c>
      <c r="H59" s="1">
        <f t="shared" si="28"/>
        <v>4.3</v>
      </c>
      <c r="I59" s="1">
        <f t="shared" si="28"/>
        <v>4.1480079624746224</v>
      </c>
      <c r="J59" s="1">
        <f t="shared" si="28"/>
        <v>3.7928325054005763</v>
      </c>
      <c r="K59" s="1">
        <f t="shared" si="28"/>
        <v>3.5009666320853023</v>
      </c>
      <c r="L59" s="1">
        <f t="shared" si="28"/>
        <v>3.2563384011895073</v>
      </c>
      <c r="M59" s="1">
        <f t="shared" si="28"/>
        <v>3.0479667464176496</v>
      </c>
    </row>
    <row r="60" spans="1:20" x14ac:dyDescent="0.25">
      <c r="A60">
        <f t="shared" si="29"/>
        <v>30</v>
      </c>
      <c r="B60" s="1">
        <f t="shared" si="28"/>
        <v>0</v>
      </c>
      <c r="C60" s="1">
        <f t="shared" si="28"/>
        <v>4.3</v>
      </c>
      <c r="D60" s="1">
        <f t="shared" si="28"/>
        <v>4.3</v>
      </c>
      <c r="E60" s="1">
        <f t="shared" si="28"/>
        <v>4.3</v>
      </c>
      <c r="F60" s="1">
        <f t="shared" si="28"/>
        <v>4.3</v>
      </c>
      <c r="G60" s="1">
        <f t="shared" si="28"/>
        <v>4.3</v>
      </c>
      <c r="H60" s="1">
        <f t="shared" si="28"/>
        <v>4.3</v>
      </c>
      <c r="I60" s="1">
        <f t="shared" si="28"/>
        <v>4.3</v>
      </c>
      <c r="J60" s="1">
        <f t="shared" si="28"/>
        <v>4.1480079624746224</v>
      </c>
      <c r="K60" s="1">
        <f t="shared" si="28"/>
        <v>3.7928325054005763</v>
      </c>
      <c r="L60" s="1">
        <f t="shared" si="28"/>
        <v>3.5009666320853023</v>
      </c>
      <c r="M60" s="1">
        <f t="shared" si="28"/>
        <v>3.2563384011895073</v>
      </c>
    </row>
    <row r="61" spans="1:20" x14ac:dyDescent="0.25">
      <c r="A61">
        <f t="shared" si="29"/>
        <v>35</v>
      </c>
      <c r="B61" s="1">
        <f t="shared" si="28"/>
        <v>0</v>
      </c>
      <c r="C61" s="1">
        <f t="shared" si="28"/>
        <v>0</v>
      </c>
      <c r="D61" s="1">
        <f t="shared" si="28"/>
        <v>4.3</v>
      </c>
      <c r="E61" s="1">
        <f t="shared" si="28"/>
        <v>4.3</v>
      </c>
      <c r="F61" s="1">
        <f t="shared" si="28"/>
        <v>4.3</v>
      </c>
      <c r="G61" s="1">
        <f t="shared" si="28"/>
        <v>4.3</v>
      </c>
      <c r="H61" s="1">
        <f t="shared" si="28"/>
        <v>4.3</v>
      </c>
      <c r="I61" s="1">
        <f t="shared" si="28"/>
        <v>4.3</v>
      </c>
      <c r="J61" s="1">
        <f t="shared" si="28"/>
        <v>4.3</v>
      </c>
      <c r="K61" s="1">
        <f t="shared" si="28"/>
        <v>4.1480079624746224</v>
      </c>
      <c r="L61" s="1">
        <f t="shared" si="28"/>
        <v>3.7928325054005763</v>
      </c>
      <c r="M61" s="1">
        <f t="shared" si="28"/>
        <v>3.5009666320853023</v>
      </c>
    </row>
    <row r="62" spans="1:20" x14ac:dyDescent="0.25">
      <c r="A62">
        <f t="shared" si="29"/>
        <v>40</v>
      </c>
      <c r="B62" s="1">
        <f t="shared" si="28"/>
        <v>0</v>
      </c>
      <c r="C62" s="1">
        <f t="shared" si="28"/>
        <v>0</v>
      </c>
      <c r="D62" s="1">
        <f t="shared" si="28"/>
        <v>0</v>
      </c>
      <c r="E62" s="1">
        <f t="shared" si="28"/>
        <v>4.3</v>
      </c>
      <c r="F62" s="1">
        <f t="shared" si="28"/>
        <v>4.3</v>
      </c>
      <c r="G62" s="1">
        <f t="shared" si="28"/>
        <v>4.3</v>
      </c>
      <c r="H62" s="1">
        <f>MIN(IF(H$53&lt;=$A62,0,68.455*(H$53-$A62)^-0.76),5.8-1.5)</f>
        <v>4.3</v>
      </c>
      <c r="I62" s="1">
        <f t="shared" si="28"/>
        <v>4.3</v>
      </c>
      <c r="J62" s="1">
        <f t="shared" si="28"/>
        <v>4.3</v>
      </c>
      <c r="K62" s="1">
        <f t="shared" si="28"/>
        <v>4.3</v>
      </c>
      <c r="L62" s="1">
        <f t="shared" si="28"/>
        <v>4.1480079624746224</v>
      </c>
      <c r="M62" s="1">
        <f t="shared" si="28"/>
        <v>3.7928325054005763</v>
      </c>
    </row>
    <row r="63" spans="1:20" x14ac:dyDescent="0.25">
      <c r="A63">
        <f t="shared" si="29"/>
        <v>45</v>
      </c>
      <c r="B63" s="1">
        <f t="shared" si="28"/>
        <v>0</v>
      </c>
      <c r="C63" s="1">
        <f t="shared" si="28"/>
        <v>0</v>
      </c>
      <c r="D63" s="1">
        <f t="shared" si="28"/>
        <v>0</v>
      </c>
      <c r="E63" s="1">
        <f t="shared" si="28"/>
        <v>0</v>
      </c>
      <c r="F63" s="1">
        <f t="shared" si="28"/>
        <v>4.3</v>
      </c>
      <c r="G63" s="1">
        <f t="shared" si="28"/>
        <v>4.3</v>
      </c>
      <c r="H63" s="1">
        <f t="shared" si="28"/>
        <v>4.3</v>
      </c>
      <c r="I63" s="1">
        <f t="shared" si="28"/>
        <v>4.3</v>
      </c>
      <c r="J63" s="1">
        <f t="shared" si="28"/>
        <v>4.3</v>
      </c>
      <c r="K63" s="1">
        <f t="shared" si="28"/>
        <v>4.3</v>
      </c>
      <c r="L63" s="1">
        <f t="shared" si="28"/>
        <v>4.3</v>
      </c>
      <c r="M63" s="1">
        <f t="shared" si="28"/>
        <v>4.1480079624746224</v>
      </c>
    </row>
    <row r="64" spans="1:20" x14ac:dyDescent="0.25">
      <c r="A64">
        <f t="shared" si="29"/>
        <v>50</v>
      </c>
      <c r="B64" s="1">
        <f t="shared" si="28"/>
        <v>0</v>
      </c>
      <c r="C64" s="1">
        <f t="shared" si="28"/>
        <v>0</v>
      </c>
      <c r="D64" s="1">
        <f t="shared" si="28"/>
        <v>0</v>
      </c>
      <c r="E64" s="1">
        <f t="shared" si="28"/>
        <v>0</v>
      </c>
      <c r="F64" s="1">
        <f t="shared" si="28"/>
        <v>0</v>
      </c>
      <c r="G64" s="1">
        <f t="shared" si="28"/>
        <v>4.3</v>
      </c>
      <c r="H64" s="1">
        <f t="shared" si="28"/>
        <v>4.3</v>
      </c>
      <c r="I64" s="1">
        <f t="shared" si="28"/>
        <v>4.3</v>
      </c>
      <c r="J64" s="1">
        <f t="shared" si="28"/>
        <v>4.3</v>
      </c>
      <c r="K64" s="1">
        <f t="shared" si="28"/>
        <v>4.3</v>
      </c>
      <c r="L64" s="1">
        <f t="shared" si="28"/>
        <v>4.3</v>
      </c>
      <c r="M64" s="1">
        <f t="shared" si="28"/>
        <v>4.3</v>
      </c>
    </row>
    <row r="65" spans="1:13" x14ac:dyDescent="0.25">
      <c r="A65">
        <f t="shared" si="29"/>
        <v>55</v>
      </c>
      <c r="B65" s="1">
        <f t="shared" si="28"/>
        <v>0</v>
      </c>
      <c r="C65" s="1">
        <f t="shared" si="28"/>
        <v>0</v>
      </c>
      <c r="D65" s="1">
        <f t="shared" si="28"/>
        <v>0</v>
      </c>
      <c r="E65" s="1">
        <f t="shared" si="28"/>
        <v>0</v>
      </c>
      <c r="F65" s="1">
        <f t="shared" si="28"/>
        <v>0</v>
      </c>
      <c r="G65" s="1">
        <f t="shared" si="28"/>
        <v>0</v>
      </c>
      <c r="H65" s="1">
        <f t="shared" si="28"/>
        <v>4.3</v>
      </c>
      <c r="I65" s="1">
        <f t="shared" si="28"/>
        <v>4.3</v>
      </c>
      <c r="J65" s="1">
        <f t="shared" si="28"/>
        <v>4.3</v>
      </c>
      <c r="K65" s="1">
        <f t="shared" si="28"/>
        <v>4.3</v>
      </c>
      <c r="L65" s="1">
        <f t="shared" si="28"/>
        <v>4.3</v>
      </c>
      <c r="M65" s="1">
        <f t="shared" si="28"/>
        <v>4.3</v>
      </c>
    </row>
    <row r="67" spans="1:13" x14ac:dyDescent="0.25">
      <c r="A67" t="s">
        <v>98</v>
      </c>
      <c r="B67" t="s">
        <v>3</v>
      </c>
    </row>
    <row r="68" spans="1:13" x14ac:dyDescent="0.25">
      <c r="A68" t="s">
        <v>99</v>
      </c>
      <c r="B68">
        <v>30</v>
      </c>
      <c r="C68">
        <f>B68+5</f>
        <v>35</v>
      </c>
      <c r="D68">
        <f t="shared" ref="D68:M68" si="30">C68+5</f>
        <v>40</v>
      </c>
      <c r="E68">
        <f t="shared" si="30"/>
        <v>45</v>
      </c>
      <c r="F68">
        <f t="shared" si="30"/>
        <v>50</v>
      </c>
      <c r="G68">
        <f t="shared" si="30"/>
        <v>55</v>
      </c>
      <c r="H68">
        <f t="shared" si="30"/>
        <v>60</v>
      </c>
      <c r="I68">
        <f t="shared" si="30"/>
        <v>65</v>
      </c>
      <c r="J68">
        <f t="shared" si="30"/>
        <v>70</v>
      </c>
      <c r="K68">
        <f t="shared" si="30"/>
        <v>75</v>
      </c>
      <c r="L68">
        <f t="shared" si="30"/>
        <v>80</v>
      </c>
      <c r="M68">
        <f t="shared" si="30"/>
        <v>85</v>
      </c>
    </row>
    <row r="69" spans="1:13" x14ac:dyDescent="0.25">
      <c r="A69">
        <v>5</v>
      </c>
      <c r="B69" s="1"/>
      <c r="C69" s="1"/>
      <c r="D69" s="1"/>
      <c r="E69" s="1"/>
      <c r="F69" s="1"/>
      <c r="G69" s="1"/>
      <c r="H69" s="1"/>
      <c r="I69" s="1"/>
      <c r="J69" s="1"/>
      <c r="K69" s="1"/>
      <c r="L69" s="1"/>
      <c r="M69" s="1"/>
    </row>
    <row r="70" spans="1:13" x14ac:dyDescent="0.25">
      <c r="A70">
        <f t="shared" ref="A70:A83" si="31">A69+5</f>
        <v>10</v>
      </c>
      <c r="B70" s="1"/>
      <c r="C70" s="1"/>
      <c r="D70" s="1"/>
      <c r="E70" s="1"/>
      <c r="F70" s="1"/>
      <c r="G70" s="1"/>
      <c r="H70" s="1"/>
      <c r="I70" s="1"/>
      <c r="J70" s="1"/>
      <c r="K70" s="1"/>
      <c r="L70" s="1"/>
      <c r="M70" s="1"/>
    </row>
    <row r="71" spans="1:13" x14ac:dyDescent="0.25">
      <c r="A71">
        <f t="shared" si="31"/>
        <v>15</v>
      </c>
      <c r="B71" s="1"/>
      <c r="C71" s="1"/>
      <c r="D71" s="1"/>
      <c r="E71" s="1"/>
      <c r="F71" s="1"/>
      <c r="G71" s="1"/>
      <c r="H71" s="1">
        <v>0.30111111111111111</v>
      </c>
      <c r="I71" s="1">
        <v>0.28927777777777797</v>
      </c>
      <c r="J71" s="1">
        <v>0.33636363636363686</v>
      </c>
      <c r="K71" s="1">
        <v>0.34416666666666584</v>
      </c>
      <c r="L71" s="1"/>
      <c r="M71" s="1"/>
    </row>
    <row r="72" spans="1:13" x14ac:dyDescent="0.25">
      <c r="A72">
        <f t="shared" si="31"/>
        <v>20</v>
      </c>
      <c r="B72" s="1"/>
      <c r="C72" s="1"/>
      <c r="D72" s="1"/>
      <c r="E72" s="1"/>
      <c r="F72" s="1"/>
      <c r="G72" s="1"/>
      <c r="H72" s="1">
        <v>0.26574074074074083</v>
      </c>
      <c r="I72" s="1">
        <v>0.26692592592592534</v>
      </c>
      <c r="J72" s="1">
        <v>0.32068181818181829</v>
      </c>
      <c r="K72" s="1">
        <v>0.32890151515151489</v>
      </c>
      <c r="L72" s="1">
        <v>0.38166666666666638</v>
      </c>
      <c r="M72" s="1"/>
    </row>
    <row r="73" spans="1:13" x14ac:dyDescent="0.25">
      <c r="A73">
        <f t="shared" si="31"/>
        <v>25</v>
      </c>
      <c r="B73" s="1"/>
      <c r="C73" s="1"/>
      <c r="D73" s="1"/>
      <c r="E73" s="1"/>
      <c r="F73" s="1"/>
      <c r="G73" s="1"/>
      <c r="H73" s="1">
        <v>0.22323412698412692</v>
      </c>
      <c r="I73" s="1">
        <v>0.24081944444444359</v>
      </c>
      <c r="J73" s="1">
        <v>0.29008417508417494</v>
      </c>
      <c r="K73" s="1">
        <v>0.3072676767676768</v>
      </c>
      <c r="L73" s="1">
        <v>0.35946969696969711</v>
      </c>
      <c r="M73" s="1"/>
    </row>
    <row r="74" spans="1:13" x14ac:dyDescent="0.25">
      <c r="A74">
        <f t="shared" si="31"/>
        <v>30</v>
      </c>
      <c r="B74" s="1"/>
      <c r="C74" s="1"/>
      <c r="D74" s="1"/>
      <c r="E74" s="1"/>
      <c r="F74" s="1"/>
      <c r="G74" s="1"/>
      <c r="H74" s="1">
        <v>0.18192063492063495</v>
      </c>
      <c r="I74" s="1">
        <v>0.20065555555555498</v>
      </c>
      <c r="J74" s="1">
        <v>0.25600063131313111</v>
      </c>
      <c r="K74" s="1">
        <v>0.27906186868686877</v>
      </c>
      <c r="L74" s="1">
        <v>0.33264646464646469</v>
      </c>
      <c r="M74" s="1"/>
    </row>
    <row r="75" spans="1:13" x14ac:dyDescent="0.25">
      <c r="A75">
        <f t="shared" si="31"/>
        <v>35</v>
      </c>
      <c r="B75" s="1"/>
      <c r="C75" s="1"/>
      <c r="D75" s="1"/>
      <c r="E75" s="1"/>
      <c r="F75" s="1"/>
      <c r="G75" s="1"/>
      <c r="H75" s="1">
        <v>8.1920634920634866E-2</v>
      </c>
      <c r="I75" s="1">
        <v>0.11265555555555498</v>
      </c>
      <c r="J75" s="1">
        <v>0.17350063131313143</v>
      </c>
      <c r="K75" s="1">
        <v>0.19906186868686881</v>
      </c>
      <c r="L75" s="1">
        <v>0.25597979797979775</v>
      </c>
      <c r="M75" s="1"/>
    </row>
    <row r="76" spans="1:13" x14ac:dyDescent="0.25">
      <c r="A76">
        <f t="shared" si="31"/>
        <v>40</v>
      </c>
      <c r="B76" s="1"/>
      <c r="C76" s="1"/>
      <c r="D76" s="1"/>
      <c r="E76" s="1"/>
      <c r="F76" s="1"/>
      <c r="G76" s="1"/>
      <c r="H76" s="1">
        <v>-2.2079365079365053E-2</v>
      </c>
      <c r="I76" s="1">
        <v>1.6655555555555156E-2</v>
      </c>
      <c r="J76" s="1">
        <v>8.1000631313131288E-2</v>
      </c>
      <c r="K76" s="1">
        <v>0.1165618686868688</v>
      </c>
      <c r="L76" s="1">
        <v>0.17597979797979782</v>
      </c>
      <c r="M76" s="1"/>
    </row>
    <row r="77" spans="1:13" x14ac:dyDescent="0.25">
      <c r="A77">
        <f t="shared" si="31"/>
        <v>45</v>
      </c>
      <c r="B77" s="1"/>
      <c r="C77" s="1"/>
      <c r="D77" s="1"/>
      <c r="E77" s="1"/>
      <c r="F77" s="1"/>
      <c r="G77" s="1"/>
      <c r="H77" s="1">
        <v>-0.12607936507936524</v>
      </c>
      <c r="I77" s="1">
        <v>-7.3344444444444962E-2</v>
      </c>
      <c r="J77" s="1">
        <v>-6.4993686868688449E-3</v>
      </c>
      <c r="K77" s="1">
        <v>3.6561868686868615E-2</v>
      </c>
      <c r="L77" s="1">
        <v>9.2646464646464491E-2</v>
      </c>
      <c r="M77" s="1"/>
    </row>
    <row r="78" spans="1:13" x14ac:dyDescent="0.25">
      <c r="A78">
        <f t="shared" si="31"/>
        <v>50</v>
      </c>
      <c r="B78" s="1"/>
      <c r="C78" s="1"/>
      <c r="D78" s="1"/>
      <c r="E78" s="1"/>
      <c r="F78" s="1"/>
      <c r="G78" s="1"/>
      <c r="H78" s="1">
        <v>-0.23407936507936505</v>
      </c>
      <c r="I78" s="1">
        <v>-0.16734444444444482</v>
      </c>
      <c r="J78" s="1">
        <v>-9.8999368686868761E-2</v>
      </c>
      <c r="K78" s="1">
        <v>-4.5938131313130959E-2</v>
      </c>
      <c r="L78" s="1">
        <v>1.2646464646464572E-2</v>
      </c>
      <c r="M78" s="1"/>
    </row>
    <row r="79" spans="1:13" x14ac:dyDescent="0.25">
      <c r="A79">
        <f t="shared" si="31"/>
        <v>55</v>
      </c>
      <c r="B79" s="1"/>
      <c r="C79" s="1"/>
      <c r="D79" s="1"/>
      <c r="E79" s="1"/>
      <c r="F79" s="1"/>
      <c r="G79" s="1"/>
      <c r="H79" s="1">
        <v>-0.3400793650793652</v>
      </c>
      <c r="I79" s="1">
        <v>-0.26134444444444488</v>
      </c>
      <c r="J79" s="1">
        <v>-0.19149936868686845</v>
      </c>
      <c r="K79" s="1">
        <v>-0.13093813131313137</v>
      </c>
      <c r="L79" s="1">
        <v>-7.0686868686868909E-2</v>
      </c>
      <c r="M79" s="1"/>
    </row>
    <row r="80" spans="1:13" x14ac:dyDescent="0.25">
      <c r="A80">
        <f t="shared" si="31"/>
        <v>60</v>
      </c>
      <c r="B80" s="1"/>
      <c r="C80" s="1"/>
      <c r="D80" s="1"/>
      <c r="E80" s="1"/>
      <c r="F80" s="1"/>
      <c r="G80" s="1"/>
      <c r="H80" s="1"/>
      <c r="I80" s="1">
        <v>-0.36134444444444525</v>
      </c>
      <c r="J80" s="1">
        <v>-0.28899936868686882</v>
      </c>
      <c r="K80" s="1">
        <v>-0.22093813131313111</v>
      </c>
      <c r="L80" s="1">
        <v>-0.1573535353535355</v>
      </c>
      <c r="M80" s="1"/>
    </row>
    <row r="81" spans="1:46" x14ac:dyDescent="0.25">
      <c r="A81">
        <f t="shared" si="31"/>
        <v>65</v>
      </c>
      <c r="B81" s="1"/>
      <c r="C81" s="1"/>
      <c r="D81" s="1"/>
      <c r="E81" s="1"/>
      <c r="F81" s="1"/>
      <c r="G81" s="1"/>
      <c r="H81" s="1"/>
      <c r="I81" s="1"/>
      <c r="J81" s="1">
        <v>-0.38649936868686874</v>
      </c>
      <c r="K81" s="1">
        <v>-0.31093813131313108</v>
      </c>
      <c r="L81" s="1">
        <v>-0.24735353535353521</v>
      </c>
      <c r="M81" s="1"/>
    </row>
    <row r="82" spans="1:46" x14ac:dyDescent="0.25">
      <c r="A82">
        <f t="shared" si="31"/>
        <v>70</v>
      </c>
      <c r="B82" s="1"/>
      <c r="C82" s="1"/>
      <c r="D82" s="1"/>
      <c r="E82" s="1"/>
      <c r="F82" s="1"/>
      <c r="G82" s="1"/>
      <c r="H82" s="1"/>
      <c r="I82" s="1"/>
      <c r="J82" s="1"/>
      <c r="K82" s="1">
        <v>-0.40343813131313133</v>
      </c>
      <c r="L82" s="1">
        <v>-0.33735353535353535</v>
      </c>
      <c r="M82" s="1"/>
    </row>
    <row r="83" spans="1:46" x14ac:dyDescent="0.25">
      <c r="A83">
        <f t="shared" si="31"/>
        <v>75</v>
      </c>
      <c r="B83" s="1"/>
      <c r="C83" s="1"/>
      <c r="D83" s="1"/>
      <c r="E83" s="1"/>
      <c r="F83" s="1"/>
      <c r="G83" s="1"/>
      <c r="H83" s="1"/>
      <c r="I83" s="1"/>
      <c r="J83" s="1"/>
      <c r="K83" s="1"/>
      <c r="L83" s="1">
        <v>-0.42402020202020196</v>
      </c>
      <c r="M83" s="1"/>
    </row>
    <row r="84" spans="1:46" x14ac:dyDescent="0.25">
      <c r="B84" s="1"/>
      <c r="C84" s="1"/>
      <c r="D84" s="1"/>
      <c r="E84" s="1"/>
      <c r="F84" s="1"/>
      <c r="G84" s="1"/>
      <c r="H84" s="1"/>
      <c r="I84" s="1"/>
      <c r="J84" s="1"/>
      <c r="K84" s="1"/>
      <c r="L84" s="1"/>
      <c r="M84" s="1"/>
    </row>
    <row r="90" spans="1:46" x14ac:dyDescent="0.25">
      <c r="P90" t="s">
        <v>112</v>
      </c>
      <c r="AH90" t="s">
        <v>111</v>
      </c>
    </row>
    <row r="91" spans="1:46" x14ac:dyDescent="0.25">
      <c r="P91" t="s">
        <v>110</v>
      </c>
      <c r="Q91">
        <v>15</v>
      </c>
      <c r="R91">
        <f>Q91+5</f>
        <v>20</v>
      </c>
      <c r="S91">
        <f t="shared" ref="S91:AC91" si="32">R91+5</f>
        <v>25</v>
      </c>
      <c r="T91">
        <f t="shared" si="32"/>
        <v>30</v>
      </c>
      <c r="U91">
        <f t="shared" si="32"/>
        <v>35</v>
      </c>
      <c r="V91">
        <f t="shared" si="32"/>
        <v>40</v>
      </c>
      <c r="W91">
        <f t="shared" si="32"/>
        <v>45</v>
      </c>
      <c r="X91">
        <f t="shared" si="32"/>
        <v>50</v>
      </c>
      <c r="Y91">
        <f t="shared" si="32"/>
        <v>55</v>
      </c>
      <c r="Z91">
        <f t="shared" si="32"/>
        <v>60</v>
      </c>
      <c r="AA91">
        <f t="shared" si="32"/>
        <v>65</v>
      </c>
      <c r="AB91">
        <f t="shared" si="32"/>
        <v>70</v>
      </c>
      <c r="AC91">
        <f t="shared" si="32"/>
        <v>75</v>
      </c>
      <c r="AE91" s="2" t="s">
        <v>100</v>
      </c>
      <c r="AH91">
        <v>15</v>
      </c>
      <c r="AI91">
        <f>AH91+5</f>
        <v>20</v>
      </c>
      <c r="AJ91">
        <f t="shared" ref="AJ91:AT91" si="33">AI91+5</f>
        <v>25</v>
      </c>
      <c r="AK91">
        <f t="shared" si="33"/>
        <v>30</v>
      </c>
      <c r="AL91">
        <f t="shared" si="33"/>
        <v>35</v>
      </c>
      <c r="AM91">
        <f t="shared" si="33"/>
        <v>40</v>
      </c>
      <c r="AN91">
        <f t="shared" si="33"/>
        <v>45</v>
      </c>
      <c r="AO91">
        <f t="shared" si="33"/>
        <v>50</v>
      </c>
      <c r="AP91">
        <f t="shared" si="33"/>
        <v>55</v>
      </c>
      <c r="AQ91">
        <f t="shared" si="33"/>
        <v>60</v>
      </c>
      <c r="AR91">
        <f t="shared" si="33"/>
        <v>65</v>
      </c>
      <c r="AS91">
        <f t="shared" si="33"/>
        <v>70</v>
      </c>
      <c r="AT91">
        <f t="shared" si="33"/>
        <v>75</v>
      </c>
    </row>
    <row r="92" spans="1:46" x14ac:dyDescent="0.25">
      <c r="P92">
        <v>30</v>
      </c>
      <c r="R92">
        <v>4.0999999999999996</v>
      </c>
      <c r="S92">
        <v>4.03</v>
      </c>
      <c r="T92">
        <v>3.96</v>
      </c>
      <c r="U92">
        <v>3.9</v>
      </c>
      <c r="V92">
        <v>3.83</v>
      </c>
      <c r="W92">
        <v>3.76</v>
      </c>
      <c r="X92">
        <v>3.69</v>
      </c>
      <c r="Y92">
        <v>3.62</v>
      </c>
      <c r="Z92">
        <v>3.55</v>
      </c>
      <c r="AA92">
        <v>3.47</v>
      </c>
      <c r="AB92">
        <v>3.39</v>
      </c>
      <c r="AC92">
        <v>3.32</v>
      </c>
      <c r="AE92" s="9">
        <f>AVERAGE(Q92:AC92)</f>
        <v>3.7183333333333333</v>
      </c>
      <c r="AH92" s="8"/>
      <c r="AI92" s="8">
        <f t="shared" ref="AI92:AP92" si="34">R92-$AE92</f>
        <v>0.38166666666666638</v>
      </c>
      <c r="AJ92" s="8">
        <f t="shared" si="34"/>
        <v>0.31166666666666698</v>
      </c>
      <c r="AK92" s="8">
        <f t="shared" si="34"/>
        <v>0.2416666666666667</v>
      </c>
      <c r="AL92" s="8">
        <f t="shared" si="34"/>
        <v>0.18166666666666664</v>
      </c>
      <c r="AM92" s="8">
        <f t="shared" si="34"/>
        <v>0.1116666666666668</v>
      </c>
      <c r="AN92" s="8">
        <f t="shared" si="34"/>
        <v>4.1666666666666519E-2</v>
      </c>
      <c r="AO92" s="8">
        <f t="shared" si="34"/>
        <v>-2.8333333333333321E-2</v>
      </c>
      <c r="AP92" s="8">
        <f t="shared" si="34"/>
        <v>-9.8333333333333162E-2</v>
      </c>
      <c r="AQ92" s="8">
        <f t="shared" ref="AQ92:AQ94" si="35">Z92-$AE92</f>
        <v>-0.16833333333333345</v>
      </c>
      <c r="AR92" s="8">
        <f t="shared" ref="AR92:AR94" si="36">AA92-$AE92</f>
        <v>-0.24833333333333307</v>
      </c>
      <c r="AS92" s="8">
        <f t="shared" ref="AS92:AS94" si="37">AB92-$AE92</f>
        <v>-0.32833333333333314</v>
      </c>
      <c r="AT92" s="8">
        <f t="shared" ref="AT92:AT93" si="38">AC92-$AE92</f>
        <v>-0.39833333333333343</v>
      </c>
    </row>
    <row r="93" spans="1:46" x14ac:dyDescent="0.25">
      <c r="P93">
        <v>35</v>
      </c>
      <c r="S93">
        <v>4.57</v>
      </c>
      <c r="T93">
        <v>4.49</v>
      </c>
      <c r="U93">
        <v>4.41</v>
      </c>
      <c r="V93">
        <v>4.33</v>
      </c>
      <c r="W93">
        <v>4.25</v>
      </c>
      <c r="X93">
        <v>4.17</v>
      </c>
      <c r="Y93">
        <v>4.09</v>
      </c>
      <c r="Z93">
        <v>4</v>
      </c>
      <c r="AA93">
        <v>3.91</v>
      </c>
      <c r="AB93">
        <v>3.83</v>
      </c>
      <c r="AC93">
        <v>3.74</v>
      </c>
      <c r="AE93" s="9">
        <f t="shared" ref="AE93:AE94" si="39">AVERAGE(Q93:AC93)</f>
        <v>4.1627272727272731</v>
      </c>
      <c r="AH93" s="8"/>
      <c r="AI93" s="8"/>
      <c r="AJ93" s="8">
        <f t="shared" ref="AJ93:AP93" si="40">S93-$AE93</f>
        <v>0.40727272727272723</v>
      </c>
      <c r="AK93" s="8">
        <f t="shared" si="40"/>
        <v>0.32727272727272716</v>
      </c>
      <c r="AL93" s="8">
        <f t="shared" si="40"/>
        <v>0.24727272727272709</v>
      </c>
      <c r="AM93" s="8">
        <f t="shared" si="40"/>
        <v>0.16727272727272702</v>
      </c>
      <c r="AN93" s="8">
        <f t="shared" si="40"/>
        <v>8.7272727272726947E-2</v>
      </c>
      <c r="AO93" s="8">
        <f t="shared" si="40"/>
        <v>7.2727272727268755E-3</v>
      </c>
      <c r="AP93" s="8">
        <f t="shared" si="40"/>
        <v>-7.2727272727273196E-2</v>
      </c>
      <c r="AQ93" s="8">
        <f t="shared" si="35"/>
        <v>-0.16272727272727305</v>
      </c>
      <c r="AR93" s="8">
        <f t="shared" si="36"/>
        <v>-0.25272727272727291</v>
      </c>
      <c r="AS93" s="8">
        <f t="shared" si="37"/>
        <v>-0.33272727272727298</v>
      </c>
      <c r="AT93" s="8">
        <f t="shared" si="38"/>
        <v>-0.42272727272727284</v>
      </c>
    </row>
    <row r="94" spans="1:46" x14ac:dyDescent="0.25">
      <c r="P94">
        <v>40</v>
      </c>
      <c r="T94">
        <v>5.1100000000000003</v>
      </c>
      <c r="U94">
        <v>5.0199999999999996</v>
      </c>
      <c r="V94">
        <v>4.93</v>
      </c>
      <c r="W94">
        <v>4.83</v>
      </c>
      <c r="X94">
        <v>4.74</v>
      </c>
      <c r="Y94">
        <v>4.6399999999999997</v>
      </c>
      <c r="Z94">
        <v>4.54</v>
      </c>
      <c r="AA94">
        <v>4.4400000000000004</v>
      </c>
      <c r="AB94">
        <v>4.33</v>
      </c>
      <c r="AC94">
        <v>4.2300000000000004</v>
      </c>
      <c r="AE94" s="9">
        <f t="shared" si="39"/>
        <v>4.681</v>
      </c>
      <c r="AH94" s="8"/>
      <c r="AI94" s="8"/>
      <c r="AJ94" s="8"/>
      <c r="AK94" s="8">
        <f t="shared" ref="AK94:AP94" si="41">T94-$AE94</f>
        <v>0.42900000000000027</v>
      </c>
      <c r="AL94" s="8">
        <f t="shared" si="41"/>
        <v>0.33899999999999952</v>
      </c>
      <c r="AM94" s="8">
        <f t="shared" si="41"/>
        <v>0.24899999999999967</v>
      </c>
      <c r="AN94" s="8">
        <f t="shared" si="41"/>
        <v>0.14900000000000002</v>
      </c>
      <c r="AO94" s="8">
        <f t="shared" si="41"/>
        <v>5.9000000000000163E-2</v>
      </c>
      <c r="AP94" s="8">
        <f t="shared" si="41"/>
        <v>-4.1000000000000369E-2</v>
      </c>
      <c r="AQ94" s="8">
        <f t="shared" si="35"/>
        <v>-0.14100000000000001</v>
      </c>
      <c r="AR94" s="8">
        <f t="shared" si="36"/>
        <v>-0.24099999999999966</v>
      </c>
      <c r="AS94" s="8">
        <f t="shared" si="37"/>
        <v>-0.35099999999999998</v>
      </c>
      <c r="AT94" s="8">
        <f>AC94-$AE94</f>
        <v>-0.45099999999999962</v>
      </c>
    </row>
    <row r="96" spans="1:46" x14ac:dyDescent="0.25">
      <c r="AH96" s="8"/>
      <c r="AI96" s="8">
        <f>AVERAGE(AI92:AI94)</f>
        <v>0.38166666666666638</v>
      </c>
      <c r="AJ96" s="8">
        <f t="shared" ref="AJ96:AT96" si="42">AVERAGE(AJ92:AJ94)</f>
        <v>0.35946969696969711</v>
      </c>
      <c r="AK96" s="8">
        <f t="shared" si="42"/>
        <v>0.33264646464646469</v>
      </c>
      <c r="AL96" s="8">
        <f t="shared" si="42"/>
        <v>0.25597979797979775</v>
      </c>
      <c r="AM96" s="8">
        <f t="shared" si="42"/>
        <v>0.17597979797979782</v>
      </c>
      <c r="AN96" s="8">
        <f t="shared" si="42"/>
        <v>9.2646464646464491E-2</v>
      </c>
      <c r="AO96" s="8">
        <f t="shared" si="42"/>
        <v>1.2646464646464572E-2</v>
      </c>
      <c r="AP96" s="8">
        <f t="shared" si="42"/>
        <v>-7.0686868686868909E-2</v>
      </c>
      <c r="AQ96" s="8">
        <f t="shared" si="42"/>
        <v>-0.1573535353535355</v>
      </c>
      <c r="AR96" s="8">
        <f t="shared" si="42"/>
        <v>-0.24735353535353521</v>
      </c>
      <c r="AS96" s="8">
        <f t="shared" si="42"/>
        <v>-0.33735353535353535</v>
      </c>
      <c r="AT96" s="8">
        <f t="shared" si="42"/>
        <v>-0.42402020202020196</v>
      </c>
    </row>
    <row r="98" spans="16:45" x14ac:dyDescent="0.25">
      <c r="P98" t="s">
        <v>113</v>
      </c>
      <c r="AH98" t="s">
        <v>111</v>
      </c>
    </row>
    <row r="99" spans="16:45" x14ac:dyDescent="0.25">
      <c r="P99" t="s">
        <v>110</v>
      </c>
      <c r="Q99">
        <v>15</v>
      </c>
      <c r="R99">
        <f>Q99+5</f>
        <v>20</v>
      </c>
      <c r="S99">
        <f t="shared" ref="S99:AB99" si="43">R99+5</f>
        <v>25</v>
      </c>
      <c r="T99">
        <f t="shared" si="43"/>
        <v>30</v>
      </c>
      <c r="U99">
        <f t="shared" si="43"/>
        <v>35</v>
      </c>
      <c r="V99">
        <f t="shared" si="43"/>
        <v>40</v>
      </c>
      <c r="W99">
        <f t="shared" si="43"/>
        <v>45</v>
      </c>
      <c r="X99">
        <f t="shared" si="43"/>
        <v>50</v>
      </c>
      <c r="Y99">
        <f t="shared" si="43"/>
        <v>55</v>
      </c>
      <c r="Z99">
        <f t="shared" si="43"/>
        <v>60</v>
      </c>
      <c r="AA99">
        <f t="shared" si="43"/>
        <v>65</v>
      </c>
      <c r="AB99">
        <f t="shared" si="43"/>
        <v>70</v>
      </c>
      <c r="AE99" s="2" t="s">
        <v>100</v>
      </c>
      <c r="AH99">
        <v>15</v>
      </c>
      <c r="AI99">
        <f>AH99+5</f>
        <v>20</v>
      </c>
      <c r="AJ99">
        <f t="shared" ref="AJ99:AS99" si="44">AI99+5</f>
        <v>25</v>
      </c>
      <c r="AK99">
        <f t="shared" si="44"/>
        <v>30</v>
      </c>
      <c r="AL99">
        <f t="shared" si="44"/>
        <v>35</v>
      </c>
      <c r="AM99">
        <f t="shared" si="44"/>
        <v>40</v>
      </c>
      <c r="AN99">
        <f t="shared" si="44"/>
        <v>45</v>
      </c>
      <c r="AO99">
        <f t="shared" si="44"/>
        <v>50</v>
      </c>
      <c r="AP99">
        <f t="shared" si="44"/>
        <v>55</v>
      </c>
      <c r="AQ99">
        <f t="shared" si="44"/>
        <v>60</v>
      </c>
      <c r="AR99">
        <f t="shared" si="44"/>
        <v>65</v>
      </c>
      <c r="AS99">
        <f t="shared" si="44"/>
        <v>70</v>
      </c>
    </row>
    <row r="100" spans="16:45" x14ac:dyDescent="0.25">
      <c r="P100">
        <v>25</v>
      </c>
      <c r="Q100">
        <v>3.88</v>
      </c>
      <c r="R100">
        <v>3.82</v>
      </c>
      <c r="S100">
        <v>3.76</v>
      </c>
      <c r="T100">
        <v>3.7</v>
      </c>
      <c r="U100">
        <v>3.64</v>
      </c>
      <c r="V100">
        <v>3.57</v>
      </c>
      <c r="W100">
        <v>3.51</v>
      </c>
      <c r="X100">
        <v>3.45</v>
      </c>
      <c r="Y100">
        <v>3.38</v>
      </c>
      <c r="Z100">
        <v>3.31</v>
      </c>
      <c r="AA100">
        <v>3.24</v>
      </c>
      <c r="AB100">
        <v>3.17</v>
      </c>
      <c r="AE100" s="9">
        <f>AVERAGE(Q100:AB100)</f>
        <v>3.535833333333334</v>
      </c>
      <c r="AH100" s="8">
        <f t="shared" ref="AH100:AM100" si="45">Q100-$AE100</f>
        <v>0.34416666666666584</v>
      </c>
      <c r="AI100" s="8">
        <f t="shared" si="45"/>
        <v>0.28416666666666579</v>
      </c>
      <c r="AJ100" s="8">
        <f t="shared" si="45"/>
        <v>0.22416666666666574</v>
      </c>
      <c r="AK100" s="8">
        <f t="shared" si="45"/>
        <v>0.16416666666666613</v>
      </c>
      <c r="AL100" s="8">
        <f t="shared" si="45"/>
        <v>0.10416666666666607</v>
      </c>
      <c r="AM100" s="8">
        <f t="shared" si="45"/>
        <v>3.416666666666579E-2</v>
      </c>
      <c r="AN100" s="8">
        <f t="shared" ref="AN100:AS103" si="46">W100-$AE100</f>
        <v>-2.5833333333334263E-2</v>
      </c>
      <c r="AO100" s="8">
        <f t="shared" si="46"/>
        <v>-8.5833333333333872E-2</v>
      </c>
      <c r="AP100" s="8">
        <f t="shared" si="46"/>
        <v>-0.15583333333333416</v>
      </c>
      <c r="AQ100" s="8">
        <f t="shared" si="46"/>
        <v>-0.225833333333334</v>
      </c>
      <c r="AR100" s="8">
        <f t="shared" si="46"/>
        <v>-0.29583333333333384</v>
      </c>
      <c r="AS100" s="8">
        <f t="shared" si="46"/>
        <v>-0.36583333333333412</v>
      </c>
    </row>
    <row r="101" spans="16:45" x14ac:dyDescent="0.25">
      <c r="P101">
        <v>30</v>
      </c>
      <c r="R101">
        <v>4.3899999999999997</v>
      </c>
      <c r="S101">
        <v>4.32</v>
      </c>
      <c r="T101">
        <v>4.24</v>
      </c>
      <c r="U101">
        <v>4.17</v>
      </c>
      <c r="V101">
        <v>4.0999999999999996</v>
      </c>
      <c r="W101">
        <v>4.0199999999999996</v>
      </c>
      <c r="X101">
        <v>3.95</v>
      </c>
      <c r="Y101">
        <v>3.87</v>
      </c>
      <c r="Z101">
        <v>3.79</v>
      </c>
      <c r="AA101">
        <v>3.71</v>
      </c>
      <c r="AB101">
        <v>3.62</v>
      </c>
      <c r="AE101" s="9">
        <f t="shared" ref="AE101:AE103" si="47">AVERAGE(Q101:AB101)</f>
        <v>4.0163636363636357</v>
      </c>
      <c r="AH101" s="8"/>
      <c r="AI101" s="8">
        <f>R101-$AE101</f>
        <v>0.37363636363636399</v>
      </c>
      <c r="AJ101" s="8">
        <f>S101-$AE101</f>
        <v>0.30363636363636459</v>
      </c>
      <c r="AK101" s="8">
        <f>T101-$AE101</f>
        <v>0.22363636363636452</v>
      </c>
      <c r="AL101" s="8">
        <f>U101-$AE101</f>
        <v>0.15363636363636424</v>
      </c>
      <c r="AM101" s="8">
        <f>V101-$AE101</f>
        <v>8.3636363636363953E-2</v>
      </c>
      <c r="AN101" s="8">
        <f t="shared" si="46"/>
        <v>3.6363636363638818E-3</v>
      </c>
      <c r="AO101" s="8">
        <f t="shared" si="46"/>
        <v>-6.6363636363635514E-2</v>
      </c>
      <c r="AP101" s="8">
        <f t="shared" si="46"/>
        <v>-0.14636363636363559</v>
      </c>
      <c r="AQ101" s="8">
        <f t="shared" si="46"/>
        <v>-0.22636363636363566</v>
      </c>
      <c r="AR101" s="8">
        <f t="shared" si="46"/>
        <v>-0.30636363636363573</v>
      </c>
      <c r="AS101" s="8">
        <f t="shared" si="46"/>
        <v>-0.39636363636363559</v>
      </c>
    </row>
    <row r="102" spans="16:45" x14ac:dyDescent="0.25">
      <c r="P102">
        <v>35</v>
      </c>
      <c r="S102">
        <v>4.91</v>
      </c>
      <c r="T102">
        <v>4.83</v>
      </c>
      <c r="U102">
        <v>4.74</v>
      </c>
      <c r="V102">
        <v>4.6500000000000004</v>
      </c>
      <c r="W102">
        <v>4.57</v>
      </c>
      <c r="X102">
        <v>4.4800000000000004</v>
      </c>
      <c r="Y102">
        <v>4.3899999999999997</v>
      </c>
      <c r="Z102">
        <v>4.29</v>
      </c>
      <c r="AA102">
        <v>4.2</v>
      </c>
      <c r="AB102">
        <v>4.0999999999999996</v>
      </c>
      <c r="AE102" s="9">
        <f t="shared" si="47"/>
        <v>4.516</v>
      </c>
      <c r="AH102" s="8"/>
      <c r="AI102" s="8"/>
      <c r="AJ102" s="8">
        <f>S102-$AE102</f>
        <v>0.39400000000000013</v>
      </c>
      <c r="AK102" s="8">
        <f>T102-$AE102</f>
        <v>0.31400000000000006</v>
      </c>
      <c r="AL102" s="8">
        <f>U102-$AE102</f>
        <v>0.2240000000000002</v>
      </c>
      <c r="AM102" s="8">
        <f>V102-$AE102</f>
        <v>0.13400000000000034</v>
      </c>
      <c r="AN102" s="8">
        <f t="shared" si="46"/>
        <v>5.400000000000027E-2</v>
      </c>
      <c r="AO102" s="8">
        <f t="shared" si="46"/>
        <v>-3.5999999999999588E-2</v>
      </c>
      <c r="AP102" s="8">
        <f t="shared" si="46"/>
        <v>-0.12600000000000033</v>
      </c>
      <c r="AQ102" s="8">
        <f t="shared" si="46"/>
        <v>-0.22599999999999998</v>
      </c>
      <c r="AR102" s="8">
        <f t="shared" si="46"/>
        <v>-0.31599999999999984</v>
      </c>
      <c r="AS102" s="8">
        <f t="shared" si="46"/>
        <v>-0.41600000000000037</v>
      </c>
    </row>
    <row r="103" spans="16:45" x14ac:dyDescent="0.25">
      <c r="P103">
        <v>40</v>
      </c>
      <c r="T103">
        <v>5.52</v>
      </c>
      <c r="U103">
        <v>5.42</v>
      </c>
      <c r="V103">
        <v>5.32</v>
      </c>
      <c r="W103">
        <v>5.22</v>
      </c>
      <c r="X103">
        <v>5.1100000000000003</v>
      </c>
      <c r="Y103">
        <v>5.01</v>
      </c>
      <c r="Z103">
        <v>4.9000000000000004</v>
      </c>
      <c r="AA103">
        <v>4.78</v>
      </c>
      <c r="AB103">
        <v>4.67</v>
      </c>
      <c r="AE103" s="9">
        <f t="shared" si="47"/>
        <v>5.1055555555555552</v>
      </c>
      <c r="AH103" s="8"/>
      <c r="AI103" s="8"/>
      <c r="AJ103" s="8"/>
      <c r="AK103" s="8">
        <f>T103-$AE103</f>
        <v>0.41444444444444439</v>
      </c>
      <c r="AL103" s="8">
        <f>U103-$AE103</f>
        <v>0.31444444444444475</v>
      </c>
      <c r="AM103" s="8">
        <f>V103-$AE103</f>
        <v>0.2144444444444451</v>
      </c>
      <c r="AN103" s="8">
        <f t="shared" si="46"/>
        <v>0.11444444444444457</v>
      </c>
      <c r="AO103" s="8">
        <f t="shared" si="46"/>
        <v>4.4444444444451392E-3</v>
      </c>
      <c r="AP103" s="8">
        <f t="shared" si="46"/>
        <v>-9.5555555555555394E-2</v>
      </c>
      <c r="AQ103" s="8">
        <f t="shared" si="46"/>
        <v>-0.20555555555555483</v>
      </c>
      <c r="AR103" s="8">
        <f t="shared" si="46"/>
        <v>-0.32555555555555493</v>
      </c>
      <c r="AS103" s="8">
        <f>AB103-$AE103</f>
        <v>-0.43555555555555525</v>
      </c>
    </row>
    <row r="105" spans="16:45" x14ac:dyDescent="0.25">
      <c r="P105" t="s">
        <v>114</v>
      </c>
      <c r="AH105" s="8">
        <f>AVERAGE(AH100:AH103)</f>
        <v>0.34416666666666584</v>
      </c>
      <c r="AI105" s="8">
        <f t="shared" ref="AI105:AS105" si="48">AVERAGE(AI100:AI103)</f>
        <v>0.32890151515151489</v>
      </c>
      <c r="AJ105" s="8">
        <f t="shared" si="48"/>
        <v>0.3072676767676768</v>
      </c>
      <c r="AK105" s="8">
        <f t="shared" si="48"/>
        <v>0.27906186868686877</v>
      </c>
      <c r="AL105" s="8">
        <f t="shared" si="48"/>
        <v>0.19906186868686881</v>
      </c>
      <c r="AM105" s="8">
        <f t="shared" si="48"/>
        <v>0.1165618686868688</v>
      </c>
      <c r="AN105" s="8">
        <f t="shared" si="48"/>
        <v>3.6561868686868615E-2</v>
      </c>
      <c r="AO105" s="8">
        <f t="shared" si="48"/>
        <v>-4.5938131313130959E-2</v>
      </c>
      <c r="AP105" s="8">
        <f t="shared" si="48"/>
        <v>-0.13093813131313137</v>
      </c>
      <c r="AQ105" s="8">
        <f t="shared" si="48"/>
        <v>-0.22093813131313111</v>
      </c>
      <c r="AR105" s="8">
        <f t="shared" si="48"/>
        <v>-0.31093813131313108</v>
      </c>
      <c r="AS105" s="8">
        <f t="shared" si="48"/>
        <v>-0.40343813131313133</v>
      </c>
    </row>
    <row r="106" spans="16:45" x14ac:dyDescent="0.25">
      <c r="AH106" s="8"/>
      <c r="AI106" s="8"/>
      <c r="AJ106" s="8"/>
      <c r="AK106" s="8"/>
      <c r="AL106" s="8"/>
      <c r="AM106" s="8"/>
      <c r="AN106" s="8"/>
      <c r="AO106" s="8"/>
      <c r="AP106" s="8"/>
      <c r="AQ106" s="8"/>
      <c r="AR106" s="8"/>
      <c r="AS106" s="8"/>
    </row>
    <row r="107" spans="16:45" x14ac:dyDescent="0.25">
      <c r="AH107" t="s">
        <v>111</v>
      </c>
    </row>
    <row r="108" spans="16:45" x14ac:dyDescent="0.25">
      <c r="P108" t="s">
        <v>110</v>
      </c>
      <c r="Q108">
        <v>15</v>
      </c>
      <c r="R108">
        <f>Q108+5</f>
        <v>20</v>
      </c>
      <c r="S108">
        <f t="shared" ref="S108:AA108" si="49">R108+5</f>
        <v>25</v>
      </c>
      <c r="T108">
        <f t="shared" si="49"/>
        <v>30</v>
      </c>
      <c r="U108">
        <f t="shared" si="49"/>
        <v>35</v>
      </c>
      <c r="V108">
        <f t="shared" si="49"/>
        <v>40</v>
      </c>
      <c r="W108">
        <f t="shared" si="49"/>
        <v>45</v>
      </c>
      <c r="X108">
        <f t="shared" si="49"/>
        <v>50</v>
      </c>
      <c r="Y108">
        <f t="shared" si="49"/>
        <v>55</v>
      </c>
      <c r="Z108">
        <f t="shared" si="49"/>
        <v>60</v>
      </c>
      <c r="AA108">
        <f t="shared" si="49"/>
        <v>65</v>
      </c>
      <c r="AE108" s="2" t="s">
        <v>100</v>
      </c>
      <c r="AH108">
        <v>15</v>
      </c>
      <c r="AI108">
        <f>AH108+5</f>
        <v>20</v>
      </c>
      <c r="AJ108">
        <f t="shared" ref="AJ108:AR108" si="50">AI108+5</f>
        <v>25</v>
      </c>
      <c r="AK108">
        <f t="shared" si="50"/>
        <v>30</v>
      </c>
      <c r="AL108">
        <f t="shared" si="50"/>
        <v>35</v>
      </c>
      <c r="AM108">
        <f t="shared" si="50"/>
        <v>40</v>
      </c>
      <c r="AN108">
        <f t="shared" si="50"/>
        <v>45</v>
      </c>
      <c r="AO108">
        <f t="shared" si="50"/>
        <v>50</v>
      </c>
      <c r="AP108">
        <f t="shared" si="50"/>
        <v>55</v>
      </c>
      <c r="AQ108">
        <f t="shared" si="50"/>
        <v>60</v>
      </c>
      <c r="AR108">
        <f t="shared" si="50"/>
        <v>65</v>
      </c>
    </row>
    <row r="109" spans="16:45" x14ac:dyDescent="0.25">
      <c r="P109">
        <v>25</v>
      </c>
      <c r="Q109">
        <v>4.16</v>
      </c>
      <c r="R109">
        <v>4.0999999999999996</v>
      </c>
      <c r="S109">
        <v>4.03</v>
      </c>
      <c r="T109">
        <v>3.96</v>
      </c>
      <c r="U109">
        <v>3.9</v>
      </c>
      <c r="V109">
        <v>3.83</v>
      </c>
      <c r="W109">
        <v>3.76</v>
      </c>
      <c r="X109">
        <v>3.69</v>
      </c>
      <c r="Y109">
        <v>3.62</v>
      </c>
      <c r="Z109">
        <v>3.54</v>
      </c>
      <c r="AA109">
        <v>3.47</v>
      </c>
      <c r="AE109" s="9">
        <f>AVERAGE(Q109:AB109)</f>
        <v>3.8236363636363633</v>
      </c>
      <c r="AH109" s="8">
        <f t="shared" ref="AH109:AM109" si="51">Q109-$AE109</f>
        <v>0.33636363636363686</v>
      </c>
      <c r="AI109" s="8">
        <f t="shared" si="51"/>
        <v>0.27636363636363637</v>
      </c>
      <c r="AJ109" s="8">
        <f t="shared" si="51"/>
        <v>0.20636363636363697</v>
      </c>
      <c r="AK109" s="8">
        <f t="shared" si="51"/>
        <v>0.13636363636363669</v>
      </c>
      <c r="AL109" s="8">
        <f t="shared" si="51"/>
        <v>7.6363636363636633E-2</v>
      </c>
      <c r="AM109" s="8">
        <f t="shared" si="51"/>
        <v>6.3636363636367932E-3</v>
      </c>
      <c r="AN109" s="8">
        <f t="shared" ref="AN109:AN112" si="52">W109-$AE109</f>
        <v>-6.3636363636363491E-2</v>
      </c>
      <c r="AO109" s="8">
        <f t="shared" ref="AO109:AO112" si="53">X109-$AE109</f>
        <v>-0.13363636363636333</v>
      </c>
      <c r="AP109" s="8">
        <f t="shared" ref="AP109:AP112" si="54">Y109-$AE109</f>
        <v>-0.20363636363636317</v>
      </c>
      <c r="AQ109" s="8">
        <f t="shared" ref="AQ109:AQ112" si="55">Z109-$AE109</f>
        <v>-0.28363636363636324</v>
      </c>
      <c r="AR109" s="8">
        <f t="shared" ref="AR109:AR112" si="56">AA109-$AE109</f>
        <v>-0.35363636363636308</v>
      </c>
      <c r="AS109" s="8"/>
    </row>
    <row r="110" spans="16:45" x14ac:dyDescent="0.25">
      <c r="P110">
        <v>25</v>
      </c>
      <c r="R110">
        <v>4.72</v>
      </c>
      <c r="S110">
        <v>4.6399999999999997</v>
      </c>
      <c r="T110">
        <v>4.5599999999999996</v>
      </c>
      <c r="U110">
        <v>4.4800000000000004</v>
      </c>
      <c r="V110">
        <v>4.4000000000000004</v>
      </c>
      <c r="W110">
        <v>4.32</v>
      </c>
      <c r="X110">
        <v>4.24</v>
      </c>
      <c r="Y110">
        <v>4.1500000000000004</v>
      </c>
      <c r="Z110">
        <v>4.0599999999999996</v>
      </c>
      <c r="AA110">
        <v>3.98</v>
      </c>
      <c r="AE110" s="9">
        <f t="shared" ref="AE110:AE112" si="57">AVERAGE(Q110:AB110)</f>
        <v>4.3549999999999995</v>
      </c>
      <c r="AH110" s="8"/>
      <c r="AI110" s="8">
        <f>R110-$AE110</f>
        <v>0.36500000000000021</v>
      </c>
      <c r="AJ110" s="8">
        <f>S110-$AE110</f>
        <v>0.28500000000000014</v>
      </c>
      <c r="AK110" s="8">
        <f>T110-$AE110</f>
        <v>0.20500000000000007</v>
      </c>
      <c r="AL110" s="8">
        <f>U110-$AE110</f>
        <v>0.12500000000000089</v>
      </c>
      <c r="AM110" s="8">
        <f>V110-$AE110</f>
        <v>4.5000000000000817E-2</v>
      </c>
      <c r="AN110" s="8">
        <f t="shared" si="52"/>
        <v>-3.4999999999999254E-2</v>
      </c>
      <c r="AO110" s="8">
        <f t="shared" si="53"/>
        <v>-0.11499999999999932</v>
      </c>
      <c r="AP110" s="8">
        <f t="shared" si="54"/>
        <v>-0.20499999999999918</v>
      </c>
      <c r="AQ110" s="8">
        <f t="shared" si="55"/>
        <v>-0.29499999999999993</v>
      </c>
      <c r="AR110" s="8">
        <f t="shared" si="56"/>
        <v>-0.37499999999999956</v>
      </c>
      <c r="AS110" s="8"/>
    </row>
    <row r="111" spans="16:45" x14ac:dyDescent="0.25">
      <c r="P111">
        <v>25</v>
      </c>
      <c r="S111">
        <v>5.3</v>
      </c>
      <c r="T111">
        <v>5.21</v>
      </c>
      <c r="U111">
        <v>5.12</v>
      </c>
      <c r="V111">
        <v>5.0199999999999996</v>
      </c>
      <c r="W111">
        <v>4.93</v>
      </c>
      <c r="X111">
        <v>4.83</v>
      </c>
      <c r="Y111">
        <v>4.7300000000000004</v>
      </c>
      <c r="Z111">
        <v>4.63</v>
      </c>
      <c r="AA111">
        <v>4.5199999999999996</v>
      </c>
      <c r="AE111" s="9">
        <f t="shared" si="57"/>
        <v>4.9211111111111121</v>
      </c>
      <c r="AH111" s="8"/>
      <c r="AI111" s="8"/>
      <c r="AJ111" s="8">
        <f>S111-$AE111</f>
        <v>0.37888888888888772</v>
      </c>
      <c r="AK111" s="8">
        <f>T111-$AE111</f>
        <v>0.28888888888888786</v>
      </c>
      <c r="AL111" s="8">
        <f>U111-$AE111</f>
        <v>0.198888888888888</v>
      </c>
      <c r="AM111" s="8">
        <f>V111-$AE111</f>
        <v>9.8888888888887472E-2</v>
      </c>
      <c r="AN111" s="8">
        <f t="shared" si="52"/>
        <v>8.8888888888876139E-3</v>
      </c>
      <c r="AO111" s="8">
        <f t="shared" si="53"/>
        <v>-9.1111111111112031E-2</v>
      </c>
      <c r="AP111" s="8">
        <f t="shared" si="54"/>
        <v>-0.19111111111111168</v>
      </c>
      <c r="AQ111" s="8">
        <f t="shared" si="55"/>
        <v>-0.29111111111111221</v>
      </c>
      <c r="AR111" s="8">
        <f t="shared" si="56"/>
        <v>-0.40111111111111253</v>
      </c>
      <c r="AS111" s="8"/>
    </row>
    <row r="112" spans="16:45" x14ac:dyDescent="0.25">
      <c r="P112">
        <v>25</v>
      </c>
      <c r="T112">
        <v>6</v>
      </c>
      <c r="U112">
        <v>5.9</v>
      </c>
      <c r="V112">
        <v>5.78</v>
      </c>
      <c r="W112">
        <v>5.67</v>
      </c>
      <c r="X112">
        <v>5.55</v>
      </c>
      <c r="Y112">
        <v>5.44</v>
      </c>
      <c r="Z112">
        <v>5.32</v>
      </c>
      <c r="AA112">
        <v>5.19</v>
      </c>
      <c r="AE112" s="9">
        <f t="shared" si="57"/>
        <v>5.6062500000000002</v>
      </c>
      <c r="AH112" s="8"/>
      <c r="AI112" s="8"/>
      <c r="AJ112" s="8"/>
      <c r="AK112" s="8">
        <f>T112-$AE112</f>
        <v>0.39374999999999982</v>
      </c>
      <c r="AL112" s="8">
        <f>U112-$AE112</f>
        <v>0.29375000000000018</v>
      </c>
      <c r="AM112" s="8">
        <f>V112-$AE112</f>
        <v>0.17375000000000007</v>
      </c>
      <c r="AN112" s="8">
        <f t="shared" si="52"/>
        <v>6.3749999999999751E-2</v>
      </c>
      <c r="AO112" s="8">
        <f t="shared" si="53"/>
        <v>-5.6250000000000355E-2</v>
      </c>
      <c r="AP112" s="8">
        <f t="shared" si="54"/>
        <v>-0.16624999999999979</v>
      </c>
      <c r="AQ112" s="8">
        <f t="shared" si="55"/>
        <v>-0.28624999999999989</v>
      </c>
      <c r="AR112" s="8">
        <f t="shared" si="56"/>
        <v>-0.41624999999999979</v>
      </c>
      <c r="AS112" s="8"/>
    </row>
    <row r="113" spans="16:45" x14ac:dyDescent="0.25">
      <c r="P113">
        <v>25</v>
      </c>
      <c r="AE113" s="9"/>
    </row>
    <row r="114" spans="16:45" x14ac:dyDescent="0.25">
      <c r="P114">
        <v>25</v>
      </c>
      <c r="AE114" s="9"/>
      <c r="AH114" s="8">
        <f>AVERAGE(AH109:AH112)</f>
        <v>0.33636363636363686</v>
      </c>
      <c r="AI114" s="8">
        <f t="shared" ref="AI114:AR114" si="58">AVERAGE(AI109:AI112)</f>
        <v>0.32068181818181829</v>
      </c>
      <c r="AJ114" s="8">
        <f>AVERAGE(AJ109:AJ112)</f>
        <v>0.29008417508417494</v>
      </c>
      <c r="AK114" s="8">
        <f t="shared" si="58"/>
        <v>0.25600063131313111</v>
      </c>
      <c r="AL114" s="8">
        <f t="shared" si="58"/>
        <v>0.17350063131313143</v>
      </c>
      <c r="AM114" s="8">
        <f t="shared" si="58"/>
        <v>8.1000631313131288E-2</v>
      </c>
      <c r="AN114" s="8">
        <f t="shared" si="58"/>
        <v>-6.4993686868688449E-3</v>
      </c>
      <c r="AO114" s="8">
        <f t="shared" si="58"/>
        <v>-9.8999368686868761E-2</v>
      </c>
      <c r="AP114" s="8">
        <f t="shared" si="58"/>
        <v>-0.19149936868686845</v>
      </c>
      <c r="AQ114" s="8">
        <f t="shared" si="58"/>
        <v>-0.28899936868686882</v>
      </c>
      <c r="AR114" s="8">
        <f t="shared" si="58"/>
        <v>-0.38649936868686874</v>
      </c>
      <c r="AS114" s="8"/>
    </row>
    <row r="116" spans="16:45" x14ac:dyDescent="0.25">
      <c r="P116" t="s">
        <v>108</v>
      </c>
      <c r="AH116" t="s">
        <v>111</v>
      </c>
    </row>
    <row r="117" spans="16:45" x14ac:dyDescent="0.25">
      <c r="P117" t="s">
        <v>110</v>
      </c>
      <c r="Q117">
        <v>15</v>
      </c>
      <c r="R117">
        <f>Q117+5</f>
        <v>20</v>
      </c>
      <c r="S117">
        <f t="shared" ref="S117:Z117" si="59">R117+5</f>
        <v>25</v>
      </c>
      <c r="T117">
        <f t="shared" si="59"/>
        <v>30</v>
      </c>
      <c r="U117">
        <f t="shared" si="59"/>
        <v>35</v>
      </c>
      <c r="V117">
        <f t="shared" si="59"/>
        <v>40</v>
      </c>
      <c r="W117">
        <f t="shared" si="59"/>
        <v>45</v>
      </c>
      <c r="X117">
        <f t="shared" si="59"/>
        <v>50</v>
      </c>
      <c r="Y117">
        <f t="shared" si="59"/>
        <v>55</v>
      </c>
      <c r="Z117">
        <f t="shared" si="59"/>
        <v>60</v>
      </c>
      <c r="AE117" s="2" t="s">
        <v>100</v>
      </c>
      <c r="AH117">
        <v>15</v>
      </c>
      <c r="AI117">
        <f>AH117+5</f>
        <v>20</v>
      </c>
      <c r="AJ117">
        <f t="shared" ref="AJ117:AQ117" si="60">AI117+5</f>
        <v>25</v>
      </c>
      <c r="AK117">
        <f t="shared" si="60"/>
        <v>30</v>
      </c>
      <c r="AL117">
        <f t="shared" si="60"/>
        <v>35</v>
      </c>
      <c r="AM117">
        <f t="shared" si="60"/>
        <v>40</v>
      </c>
      <c r="AN117">
        <f t="shared" si="60"/>
        <v>45</v>
      </c>
      <c r="AO117">
        <f t="shared" si="60"/>
        <v>50</v>
      </c>
      <c r="AP117">
        <f t="shared" si="60"/>
        <v>55</v>
      </c>
      <c r="AQ117">
        <f t="shared" si="60"/>
        <v>60</v>
      </c>
    </row>
    <row r="118" spans="16:45" x14ac:dyDescent="0.25">
      <c r="P118">
        <v>20</v>
      </c>
      <c r="Q118">
        <v>3.87</v>
      </c>
      <c r="R118">
        <v>3.81</v>
      </c>
      <c r="S118">
        <v>3.75</v>
      </c>
      <c r="T118">
        <v>3.69</v>
      </c>
      <c r="U118">
        <v>3.63</v>
      </c>
      <c r="V118">
        <v>3.56</v>
      </c>
      <c r="W118">
        <v>3.5</v>
      </c>
      <c r="X118">
        <v>3.44</v>
      </c>
      <c r="Y118">
        <v>3.37</v>
      </c>
      <c r="Z118">
        <v>3.3</v>
      </c>
      <c r="AE118" s="9">
        <f t="shared" ref="AE118" si="61">AVERAGE(Q118:Y118)</f>
        <v>3.6244444444444444</v>
      </c>
      <c r="AH118" s="8">
        <f t="shared" ref="AH118:AM119" si="62">Q118-$AE118</f>
        <v>0.24555555555555575</v>
      </c>
      <c r="AI118" s="8">
        <f t="shared" si="62"/>
        <v>0.1855555555555557</v>
      </c>
      <c r="AJ118" s="8">
        <f t="shared" si="62"/>
        <v>0.12555555555555564</v>
      </c>
      <c r="AK118" s="8">
        <f t="shared" si="62"/>
        <v>6.5555555555555589E-2</v>
      </c>
      <c r="AL118" s="8">
        <f t="shared" si="62"/>
        <v>5.5555555555555358E-3</v>
      </c>
      <c r="AM118" s="8">
        <f t="shared" si="62"/>
        <v>-6.4444444444444304E-2</v>
      </c>
      <c r="AN118" s="8">
        <f t="shared" ref="AN118:AN121" si="63">W118-$AE118</f>
        <v>-0.12444444444444436</v>
      </c>
      <c r="AO118" s="8">
        <f t="shared" ref="AO118:AO121" si="64">X118-$AE118</f>
        <v>-0.18444444444444441</v>
      </c>
      <c r="AP118" s="8">
        <f t="shared" ref="AP118:AP121" si="65">Y118-$AE118</f>
        <v>-0.25444444444444425</v>
      </c>
      <c r="AQ118" s="8">
        <f t="shared" ref="AQ118:AQ121" si="66">Z118-$AE118</f>
        <v>-0.32444444444444454</v>
      </c>
      <c r="AR118" s="8"/>
    </row>
    <row r="119" spans="16:45" x14ac:dyDescent="0.25">
      <c r="P119">
        <f>P118+5</f>
        <v>25</v>
      </c>
      <c r="Q119">
        <v>4.4800000000000004</v>
      </c>
      <c r="R119">
        <v>4.41</v>
      </c>
      <c r="S119">
        <v>4.34</v>
      </c>
      <c r="T119">
        <v>4.26</v>
      </c>
      <c r="U119">
        <v>4.1900000000000004</v>
      </c>
      <c r="V119">
        <v>4.1100000000000003</v>
      </c>
      <c r="W119">
        <v>4.04</v>
      </c>
      <c r="X119">
        <v>3.96</v>
      </c>
      <c r="Y119">
        <v>3.88</v>
      </c>
      <c r="Z119">
        <v>3.8</v>
      </c>
      <c r="AE119" s="9">
        <f>AVERAGE(Q119:AB119)</f>
        <v>4.1470000000000002</v>
      </c>
      <c r="AH119" s="8">
        <f t="shared" si="62"/>
        <v>0.33300000000000018</v>
      </c>
      <c r="AI119" s="8">
        <f t="shared" si="62"/>
        <v>0.2629999999999999</v>
      </c>
      <c r="AJ119" s="8">
        <f t="shared" si="62"/>
        <v>0.19299999999999962</v>
      </c>
      <c r="AK119" s="8">
        <f t="shared" si="62"/>
        <v>0.11299999999999955</v>
      </c>
      <c r="AL119" s="8">
        <f t="shared" si="62"/>
        <v>4.3000000000000149E-2</v>
      </c>
      <c r="AM119" s="8">
        <f t="shared" si="62"/>
        <v>-3.6999999999999922E-2</v>
      </c>
      <c r="AN119" s="8">
        <f t="shared" si="63"/>
        <v>-0.10700000000000021</v>
      </c>
      <c r="AO119" s="8">
        <f t="shared" si="64"/>
        <v>-0.18700000000000028</v>
      </c>
      <c r="AP119" s="8">
        <f t="shared" si="65"/>
        <v>-0.26700000000000035</v>
      </c>
      <c r="AQ119" s="8">
        <f t="shared" si="66"/>
        <v>-0.34700000000000042</v>
      </c>
      <c r="AR119" s="8"/>
    </row>
    <row r="120" spans="16:45" x14ac:dyDescent="0.25">
      <c r="P120">
        <f t="shared" ref="P120:P124" si="67">P119+5</f>
        <v>30</v>
      </c>
      <c r="R120">
        <v>5.0999999999999996</v>
      </c>
      <c r="S120">
        <v>5.0199999999999996</v>
      </c>
      <c r="T120">
        <v>4.93</v>
      </c>
      <c r="U120">
        <v>4.84</v>
      </c>
      <c r="V120">
        <v>4.75</v>
      </c>
      <c r="W120">
        <v>4.66</v>
      </c>
      <c r="X120">
        <v>4.57</v>
      </c>
      <c r="Y120">
        <v>4.4800000000000004</v>
      </c>
      <c r="Z120">
        <v>4.38</v>
      </c>
      <c r="AE120" s="9">
        <f t="shared" ref="AE120:AE122" si="68">AVERAGE(Q120:AB120)</f>
        <v>4.7477777777777792</v>
      </c>
      <c r="AH120" s="8"/>
      <c r="AI120" s="8">
        <f>R120-$AE120</f>
        <v>0.35222222222222044</v>
      </c>
      <c r="AJ120" s="8">
        <f>S120-$AE120</f>
        <v>0.27222222222222037</v>
      </c>
      <c r="AK120" s="8">
        <f>T120-$AE120</f>
        <v>0.18222222222222051</v>
      </c>
      <c r="AL120" s="8">
        <f>U120-$AE120</f>
        <v>9.2222222222220651E-2</v>
      </c>
      <c r="AM120" s="8">
        <f>V120-$AE120</f>
        <v>2.2222222222207932E-3</v>
      </c>
      <c r="AN120" s="8">
        <f t="shared" si="63"/>
        <v>-8.7777777777779065E-2</v>
      </c>
      <c r="AO120" s="8">
        <f t="shared" si="64"/>
        <v>-0.17777777777777892</v>
      </c>
      <c r="AP120" s="8">
        <f t="shared" si="65"/>
        <v>-0.26777777777777878</v>
      </c>
      <c r="AQ120" s="8">
        <f t="shared" si="66"/>
        <v>-0.36777777777777931</v>
      </c>
      <c r="AR120" s="8"/>
    </row>
    <row r="121" spans="16:45" x14ac:dyDescent="0.25">
      <c r="P121">
        <f t="shared" si="67"/>
        <v>35</v>
      </c>
      <c r="S121">
        <v>5.77</v>
      </c>
      <c r="T121">
        <v>5.66</v>
      </c>
      <c r="U121">
        <v>5.56</v>
      </c>
      <c r="V121">
        <v>5.45</v>
      </c>
      <c r="W121">
        <v>5.35</v>
      </c>
      <c r="X121">
        <v>5.24</v>
      </c>
      <c r="Y121">
        <v>5.13</v>
      </c>
      <c r="Z121">
        <v>5.0199999999999996</v>
      </c>
      <c r="AE121" s="9">
        <f t="shared" si="68"/>
        <v>5.3975000000000009</v>
      </c>
      <c r="AH121" s="8"/>
      <c r="AI121" s="8"/>
      <c r="AJ121" s="8">
        <f>S121-$AE121</f>
        <v>0.37249999999999872</v>
      </c>
      <c r="AK121" s="8">
        <f>T121-$AE121</f>
        <v>0.26249999999999929</v>
      </c>
      <c r="AL121" s="8">
        <f>U121-$AE121</f>
        <v>0.16249999999999876</v>
      </c>
      <c r="AM121" s="8">
        <f>V121-$AE121</f>
        <v>5.2499999999999325E-2</v>
      </c>
      <c r="AN121" s="8">
        <f t="shared" si="63"/>
        <v>-4.7500000000001208E-2</v>
      </c>
      <c r="AO121" s="8">
        <f t="shared" si="64"/>
        <v>-0.15750000000000064</v>
      </c>
      <c r="AP121" s="8">
        <f t="shared" si="65"/>
        <v>-0.26750000000000096</v>
      </c>
      <c r="AQ121" s="8">
        <f t="shared" si="66"/>
        <v>-0.37750000000000128</v>
      </c>
      <c r="AR121" s="8"/>
    </row>
    <row r="122" spans="16:45" x14ac:dyDescent="0.25">
      <c r="P122">
        <f t="shared" si="67"/>
        <v>40</v>
      </c>
      <c r="T122">
        <v>6.58</v>
      </c>
      <c r="U122">
        <v>6.46</v>
      </c>
      <c r="V122">
        <v>6.33</v>
      </c>
      <c r="W122">
        <v>6.2</v>
      </c>
      <c r="X122">
        <v>6.07</v>
      </c>
      <c r="Y122">
        <v>5.95</v>
      </c>
      <c r="Z122">
        <v>5.81</v>
      </c>
      <c r="AE122" s="9">
        <f t="shared" si="68"/>
        <v>6.2</v>
      </c>
      <c r="AJ122" s="8"/>
      <c r="AK122" s="8">
        <f>T122-$AE122</f>
        <v>0.37999999999999989</v>
      </c>
      <c r="AL122" s="8">
        <f>U122-$AE122</f>
        <v>0.25999999999999979</v>
      </c>
      <c r="AM122" s="8">
        <f>V122-$AE122</f>
        <v>0.12999999999999989</v>
      </c>
      <c r="AN122" s="8">
        <f t="shared" ref="AN122" si="69">W122-$AE122</f>
        <v>0</v>
      </c>
      <c r="AO122" s="8">
        <f t="shared" ref="AO122" si="70">X122-$AE122</f>
        <v>-0.12999999999999989</v>
      </c>
      <c r="AP122" s="8">
        <f t="shared" ref="AP122" si="71">Y122-$AE122</f>
        <v>-0.25</v>
      </c>
      <c r="AQ122" s="8">
        <f t="shared" ref="AQ122" si="72">Z122-$AE122</f>
        <v>-0.39000000000000057</v>
      </c>
    </row>
    <row r="123" spans="16:45" x14ac:dyDescent="0.25">
      <c r="P123">
        <f t="shared" si="67"/>
        <v>45</v>
      </c>
      <c r="AE123" s="9"/>
      <c r="AR123" s="8"/>
    </row>
    <row r="124" spans="16:45" x14ac:dyDescent="0.25">
      <c r="P124">
        <f t="shared" si="67"/>
        <v>50</v>
      </c>
      <c r="AE124" s="9"/>
      <c r="AH124" s="8">
        <f>AVERAGE(AH118:AH122)</f>
        <v>0.28927777777777797</v>
      </c>
      <c r="AI124" s="8">
        <f t="shared" ref="AI124:AQ124" si="73">AVERAGE(AI118:AI122)</f>
        <v>0.26692592592592534</v>
      </c>
      <c r="AJ124" s="8">
        <f t="shared" si="73"/>
        <v>0.24081944444444359</v>
      </c>
      <c r="AK124" s="8">
        <f t="shared" si="73"/>
        <v>0.20065555555555498</v>
      </c>
      <c r="AL124" s="8">
        <f t="shared" si="73"/>
        <v>0.11265555555555498</v>
      </c>
      <c r="AM124" s="8">
        <f t="shared" si="73"/>
        <v>1.6655555555555156E-2</v>
      </c>
      <c r="AN124" s="8">
        <f t="shared" si="73"/>
        <v>-7.3344444444444962E-2</v>
      </c>
      <c r="AO124" s="8">
        <f t="shared" si="73"/>
        <v>-0.16734444444444482</v>
      </c>
      <c r="AP124" s="8">
        <f t="shared" si="73"/>
        <v>-0.26134444444444488</v>
      </c>
      <c r="AQ124" s="8">
        <f t="shared" si="73"/>
        <v>-0.36134444444444525</v>
      </c>
    </row>
    <row r="126" spans="16:45" x14ac:dyDescent="0.25">
      <c r="P126" t="s">
        <v>115</v>
      </c>
      <c r="AH126" t="s">
        <v>111</v>
      </c>
    </row>
    <row r="127" spans="16:45" x14ac:dyDescent="0.25">
      <c r="P127" t="s">
        <v>110</v>
      </c>
      <c r="Q127">
        <v>15</v>
      </c>
      <c r="R127">
        <f>Q127+5</f>
        <v>20</v>
      </c>
      <c r="S127">
        <f t="shared" ref="S127:Y127" si="74">R127+5</f>
        <v>25</v>
      </c>
      <c r="T127">
        <f t="shared" si="74"/>
        <v>30</v>
      </c>
      <c r="U127">
        <f t="shared" si="74"/>
        <v>35</v>
      </c>
      <c r="V127">
        <f t="shared" si="74"/>
        <v>40</v>
      </c>
      <c r="W127">
        <f t="shared" si="74"/>
        <v>45</v>
      </c>
      <c r="X127">
        <f t="shared" si="74"/>
        <v>50</v>
      </c>
      <c r="Y127">
        <f t="shared" si="74"/>
        <v>55</v>
      </c>
      <c r="AE127" s="2" t="s">
        <v>100</v>
      </c>
      <c r="AH127">
        <v>15</v>
      </c>
      <c r="AI127">
        <f>AH127+5</f>
        <v>20</v>
      </c>
      <c r="AJ127">
        <f t="shared" ref="AJ127:AP127" si="75">AI127+5</f>
        <v>25</v>
      </c>
      <c r="AK127">
        <f t="shared" si="75"/>
        <v>30</v>
      </c>
      <c r="AL127">
        <f t="shared" si="75"/>
        <v>35</v>
      </c>
      <c r="AM127">
        <f t="shared" si="75"/>
        <v>40</v>
      </c>
      <c r="AN127">
        <f t="shared" si="75"/>
        <v>45</v>
      </c>
      <c r="AO127">
        <f t="shared" si="75"/>
        <v>50</v>
      </c>
      <c r="AP127">
        <f t="shared" si="75"/>
        <v>55</v>
      </c>
    </row>
    <row r="128" spans="16:45" x14ac:dyDescent="0.25">
      <c r="P128">
        <v>20</v>
      </c>
      <c r="Q128">
        <v>4.18</v>
      </c>
      <c r="R128">
        <v>4.1100000000000003</v>
      </c>
      <c r="S128">
        <v>4.04</v>
      </c>
      <c r="T128">
        <v>3.98</v>
      </c>
      <c r="U128">
        <v>3.91</v>
      </c>
      <c r="V128">
        <v>3.84</v>
      </c>
      <c r="W128">
        <v>3.77</v>
      </c>
      <c r="X128">
        <v>3.69</v>
      </c>
      <c r="Y128">
        <v>3.62</v>
      </c>
      <c r="AE128" s="9">
        <f t="shared" ref="AE128" si="76">AVERAGE(Q128:Y128)</f>
        <v>3.9044444444444446</v>
      </c>
      <c r="AH128" s="8">
        <f t="shared" ref="AH128:AM129" si="77">Q128-$AE128</f>
        <v>0.27555555555555511</v>
      </c>
      <c r="AI128" s="8">
        <f t="shared" si="77"/>
        <v>0.20555555555555571</v>
      </c>
      <c r="AJ128" s="8">
        <f t="shared" si="77"/>
        <v>0.13555555555555543</v>
      </c>
      <c r="AK128" s="8">
        <f t="shared" si="77"/>
        <v>7.5555555555555376E-2</v>
      </c>
      <c r="AL128" s="8">
        <f t="shared" si="77"/>
        <v>5.5555555555555358E-3</v>
      </c>
      <c r="AM128" s="8">
        <f t="shared" si="77"/>
        <v>-6.4444444444444748E-2</v>
      </c>
      <c r="AN128" s="8">
        <f t="shared" ref="AN128:AN132" si="78">W128-$AE128</f>
        <v>-0.13444444444444459</v>
      </c>
      <c r="AO128" s="8">
        <f t="shared" ref="AO128:AO132" si="79">X128-$AE128</f>
        <v>-0.21444444444444466</v>
      </c>
      <c r="AP128" s="8">
        <f t="shared" ref="AP128:AP132" si="80">Y128-$AE128</f>
        <v>-0.2844444444444445</v>
      </c>
      <c r="AQ128" s="8"/>
    </row>
    <row r="129" spans="16:43" x14ac:dyDescent="0.25">
      <c r="P129">
        <f>P128+5</f>
        <v>25</v>
      </c>
      <c r="Q129">
        <v>4.8499999999999996</v>
      </c>
      <c r="R129">
        <v>4.7699999999999996</v>
      </c>
      <c r="S129">
        <v>4.6900000000000004</v>
      </c>
      <c r="T129">
        <v>4.6100000000000003</v>
      </c>
      <c r="U129">
        <v>4.53</v>
      </c>
      <c r="V129">
        <v>4.4400000000000004</v>
      </c>
      <c r="W129">
        <v>4.3600000000000003</v>
      </c>
      <c r="X129">
        <v>4.2699999999999996</v>
      </c>
      <c r="Y129">
        <v>4.1900000000000004</v>
      </c>
      <c r="AE129" s="9">
        <f>AVERAGE(Q129:AB129)</f>
        <v>4.5233333333333325</v>
      </c>
      <c r="AH129" s="8">
        <f t="shared" si="77"/>
        <v>0.3266666666666671</v>
      </c>
      <c r="AI129" s="8">
        <f t="shared" si="77"/>
        <v>0.24666666666666703</v>
      </c>
      <c r="AJ129" s="8">
        <f t="shared" si="77"/>
        <v>0.16666666666666785</v>
      </c>
      <c r="AK129" s="8">
        <f t="shared" si="77"/>
        <v>8.666666666666778E-2</v>
      </c>
      <c r="AL129" s="8">
        <f t="shared" si="77"/>
        <v>6.6666666666677088E-3</v>
      </c>
      <c r="AM129" s="8">
        <f t="shared" si="77"/>
        <v>-8.3333333333332149E-2</v>
      </c>
      <c r="AN129" s="8">
        <f t="shared" si="78"/>
        <v>-0.16333333333333222</v>
      </c>
      <c r="AO129" s="8">
        <f t="shared" si="79"/>
        <v>-0.25333333333333297</v>
      </c>
      <c r="AP129" s="8">
        <f t="shared" si="80"/>
        <v>-0.33333333333333215</v>
      </c>
      <c r="AQ129" s="8"/>
    </row>
    <row r="130" spans="16:43" x14ac:dyDescent="0.25">
      <c r="P130">
        <f t="shared" ref="P130:P136" si="81">P129+5</f>
        <v>30</v>
      </c>
      <c r="R130">
        <v>5.55</v>
      </c>
      <c r="S130">
        <v>5.45</v>
      </c>
      <c r="T130">
        <v>5.36</v>
      </c>
      <c r="U130">
        <v>5.26</v>
      </c>
      <c r="V130">
        <v>5.16</v>
      </c>
      <c r="W130">
        <v>5.0599999999999996</v>
      </c>
      <c r="X130">
        <v>4.95</v>
      </c>
      <c r="Y130">
        <v>4.8499999999999996</v>
      </c>
      <c r="AE130" s="9">
        <f t="shared" ref="AE130:AE132" si="82">AVERAGE(Q130:AB130)</f>
        <v>5.2050000000000001</v>
      </c>
      <c r="AH130" s="8"/>
      <c r="AI130" s="8">
        <f>R130-$AE130</f>
        <v>0.34499999999999975</v>
      </c>
      <c r="AJ130" s="8">
        <f>S130-$AE130</f>
        <v>0.24500000000000011</v>
      </c>
      <c r="AK130" s="8">
        <f>T130-$AE130</f>
        <v>0.15500000000000025</v>
      </c>
      <c r="AL130" s="8">
        <f>U130-$AE130</f>
        <v>5.4999999999999716E-2</v>
      </c>
      <c r="AM130" s="8">
        <f>V130-$AE130</f>
        <v>-4.4999999999999929E-2</v>
      </c>
      <c r="AN130" s="8">
        <f t="shared" si="78"/>
        <v>-0.14500000000000046</v>
      </c>
      <c r="AO130" s="8">
        <f t="shared" si="79"/>
        <v>-0.25499999999999989</v>
      </c>
      <c r="AP130" s="8">
        <f t="shared" si="80"/>
        <v>-0.35500000000000043</v>
      </c>
      <c r="AQ130" s="8"/>
    </row>
    <row r="131" spans="16:43" x14ac:dyDescent="0.25">
      <c r="P131">
        <f t="shared" si="81"/>
        <v>35</v>
      </c>
      <c r="S131">
        <v>6.31</v>
      </c>
      <c r="T131">
        <v>6.2</v>
      </c>
      <c r="U131">
        <v>6.09</v>
      </c>
      <c r="V131">
        <v>5.97</v>
      </c>
      <c r="W131">
        <v>5.85</v>
      </c>
      <c r="X131">
        <v>5.73</v>
      </c>
      <c r="Y131">
        <v>5.6</v>
      </c>
      <c r="AE131" s="9">
        <f t="shared" si="82"/>
        <v>5.9642857142857153</v>
      </c>
      <c r="AH131" s="8"/>
      <c r="AI131" s="8"/>
      <c r="AJ131" s="8">
        <f>S131-$AE131</f>
        <v>0.34571428571428431</v>
      </c>
      <c r="AK131" s="8">
        <f>T131-$AE131</f>
        <v>0.23571428571428488</v>
      </c>
      <c r="AL131" s="8">
        <f>U131-$AE131</f>
        <v>0.12571428571428456</v>
      </c>
      <c r="AM131" s="8">
        <f>V131-$AE131</f>
        <v>5.7142857142844505E-3</v>
      </c>
      <c r="AN131" s="8">
        <f t="shared" si="78"/>
        <v>-0.11428571428571566</v>
      </c>
      <c r="AO131" s="8">
        <f t="shared" si="79"/>
        <v>-0.23428571428571487</v>
      </c>
      <c r="AP131" s="8">
        <f t="shared" si="80"/>
        <v>-0.36428571428571566</v>
      </c>
      <c r="AQ131" s="8"/>
    </row>
    <row r="132" spans="16:43" x14ac:dyDescent="0.25">
      <c r="P132">
        <f t="shared" si="81"/>
        <v>40</v>
      </c>
      <c r="T132">
        <v>7.27</v>
      </c>
      <c r="U132">
        <v>7.13</v>
      </c>
      <c r="V132">
        <v>6.99</v>
      </c>
      <c r="W132">
        <v>6.84</v>
      </c>
      <c r="X132">
        <v>6.7</v>
      </c>
      <c r="Y132">
        <v>6.55</v>
      </c>
      <c r="AE132" s="9">
        <f t="shared" si="82"/>
        <v>6.9133333333333331</v>
      </c>
      <c r="AJ132" s="8"/>
      <c r="AK132" s="8">
        <f>T132-$AE132</f>
        <v>0.35666666666666647</v>
      </c>
      <c r="AL132" s="8">
        <f>U132-$AE132</f>
        <v>0.21666666666666679</v>
      </c>
      <c r="AM132" s="8">
        <f>V132-$AE132</f>
        <v>7.6666666666667105E-2</v>
      </c>
      <c r="AN132" s="8">
        <f t="shared" si="78"/>
        <v>-7.333333333333325E-2</v>
      </c>
      <c r="AO132" s="8">
        <f t="shared" si="79"/>
        <v>-0.21333333333333293</v>
      </c>
      <c r="AP132" s="8">
        <f t="shared" si="80"/>
        <v>-0.36333333333333329</v>
      </c>
      <c r="AQ132" s="8"/>
    </row>
    <row r="133" spans="16:43" x14ac:dyDescent="0.25">
      <c r="P133">
        <f t="shared" si="81"/>
        <v>45</v>
      </c>
      <c r="AE133" s="9"/>
    </row>
    <row r="134" spans="16:43" x14ac:dyDescent="0.25">
      <c r="P134">
        <f t="shared" si="81"/>
        <v>50</v>
      </c>
      <c r="AE134" s="9"/>
      <c r="AH134" s="8">
        <f>AVERAGE(AH128:AH132)</f>
        <v>0.30111111111111111</v>
      </c>
      <c r="AI134" s="8">
        <f t="shared" ref="AI134:AP134" si="83">AVERAGE(AI128:AI132)</f>
        <v>0.26574074074074083</v>
      </c>
      <c r="AJ134" s="8">
        <f t="shared" si="83"/>
        <v>0.22323412698412692</v>
      </c>
      <c r="AK134" s="8">
        <f t="shared" si="83"/>
        <v>0.18192063492063495</v>
      </c>
      <c r="AL134" s="8">
        <f t="shared" si="83"/>
        <v>8.1920634920634866E-2</v>
      </c>
      <c r="AM134" s="8">
        <f t="shared" si="83"/>
        <v>-2.2079365079365053E-2</v>
      </c>
      <c r="AN134" s="8">
        <f t="shared" si="83"/>
        <v>-0.12607936507936524</v>
      </c>
      <c r="AO134" s="8">
        <f t="shared" si="83"/>
        <v>-0.23407936507936505</v>
      </c>
      <c r="AP134" s="8">
        <f t="shared" si="83"/>
        <v>-0.3400793650793652</v>
      </c>
      <c r="AQ134" s="8"/>
    </row>
    <row r="135" spans="16:43" x14ac:dyDescent="0.25">
      <c r="P135">
        <f t="shared" si="81"/>
        <v>55</v>
      </c>
    </row>
    <row r="136" spans="16:43" x14ac:dyDescent="0.25">
      <c r="P136">
        <f t="shared" si="81"/>
        <v>60</v>
      </c>
    </row>
  </sheetData>
  <conditionalFormatting sqref="B12:M29">
    <cfRule type="colorScale" priority="4">
      <colorScale>
        <cfvo type="min"/>
        <cfvo type="percentile" val="50"/>
        <cfvo type="max"/>
        <color rgb="FFF8696B"/>
        <color rgb="FFFFEB84"/>
        <color rgb="FF63BE7B"/>
      </colorScale>
    </cfRule>
  </conditionalFormatting>
  <conditionalFormatting sqref="B33:M50">
    <cfRule type="colorScale" priority="3">
      <colorScale>
        <cfvo type="min"/>
        <cfvo type="percentile" val="50"/>
        <cfvo type="max"/>
        <color rgb="FFF8696B"/>
        <color rgb="FFFFEB84"/>
        <color rgb="FF63BE7B"/>
      </colorScale>
    </cfRule>
  </conditionalFormatting>
  <conditionalFormatting sqref="B54:M65">
    <cfRule type="colorScale" priority="2">
      <colorScale>
        <cfvo type="min"/>
        <cfvo type="percentile" val="50"/>
        <cfvo type="max"/>
        <color rgb="FFF8696B"/>
        <color rgb="FFFFEB84"/>
        <color rgb="FF63BE7B"/>
      </colorScale>
    </cfRule>
  </conditionalFormatting>
  <conditionalFormatting sqref="B69:M84">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116"/>
  <sheetViews>
    <sheetView workbookViewId="0">
      <selection activeCell="F87" sqref="F87"/>
    </sheetView>
  </sheetViews>
  <sheetFormatPr defaultRowHeight="15" x14ac:dyDescent="0.25"/>
  <cols>
    <col min="1" max="1" width="23.42578125" customWidth="1"/>
  </cols>
  <sheetData>
    <row r="1" spans="1:18" x14ac:dyDescent="0.25">
      <c r="A1" s="3"/>
      <c r="B1" s="3" t="s">
        <v>1</v>
      </c>
      <c r="C1" s="3" t="s">
        <v>2</v>
      </c>
      <c r="D1" s="3"/>
      <c r="E1" s="3"/>
    </row>
    <row r="2" spans="1:18" x14ac:dyDescent="0.25">
      <c r="A2" s="6" t="s">
        <v>0</v>
      </c>
      <c r="B2" s="3">
        <v>50</v>
      </c>
      <c r="C2" s="3">
        <v>5000</v>
      </c>
      <c r="D2" s="3"/>
      <c r="E2" s="3"/>
    </row>
    <row r="3" spans="1:18" ht="15" customHeight="1" x14ac:dyDescent="0.25">
      <c r="A3" s="5" t="s">
        <v>10</v>
      </c>
      <c r="B3" s="5"/>
      <c r="C3" s="3" t="s">
        <v>11</v>
      </c>
      <c r="D3" s="3"/>
      <c r="E3" s="3"/>
    </row>
    <row r="4" spans="1:18" ht="15" customHeight="1" x14ac:dyDescent="0.25">
      <c r="A4" s="5" t="s">
        <v>12</v>
      </c>
      <c r="B4" s="5"/>
      <c r="C4" s="7" t="s">
        <v>13</v>
      </c>
      <c r="D4" s="3"/>
      <c r="E4" s="3"/>
    </row>
    <row r="5" spans="1:18" x14ac:dyDescent="0.25">
      <c r="B5">
        <v>0</v>
      </c>
      <c r="C5">
        <v>250</v>
      </c>
      <c r="D5">
        <v>750</v>
      </c>
      <c r="E5">
        <v>1750</v>
      </c>
    </row>
    <row r="6" spans="1:18" x14ac:dyDescent="0.25">
      <c r="A6" t="s">
        <v>6</v>
      </c>
      <c r="B6">
        <v>1400</v>
      </c>
      <c r="C6">
        <v>950</v>
      </c>
      <c r="D6">
        <v>650</v>
      </c>
      <c r="E6">
        <v>500</v>
      </c>
    </row>
    <row r="7" spans="1:18" x14ac:dyDescent="0.25">
      <c r="A7" s="4" t="s">
        <v>78</v>
      </c>
      <c r="B7">
        <v>0.01</v>
      </c>
    </row>
    <row r="9" spans="1:18" x14ac:dyDescent="0.25">
      <c r="A9" t="s">
        <v>15</v>
      </c>
    </row>
    <row r="10" spans="1:18" x14ac:dyDescent="0.25">
      <c r="A10" t="s">
        <v>14</v>
      </c>
      <c r="B10" t="s">
        <v>3</v>
      </c>
      <c r="N10" s="3"/>
      <c r="O10" s="3"/>
    </row>
    <row r="11" spans="1:18" x14ac:dyDescent="0.25">
      <c r="A11" t="s">
        <v>4</v>
      </c>
      <c r="B11">
        <v>30</v>
      </c>
      <c r="C11">
        <f>B11+5</f>
        <v>35</v>
      </c>
      <c r="D11">
        <f t="shared" ref="D11:M11" si="0">C11+5</f>
        <v>40</v>
      </c>
      <c r="E11">
        <f t="shared" si="0"/>
        <v>45</v>
      </c>
      <c r="F11">
        <f t="shared" si="0"/>
        <v>50</v>
      </c>
      <c r="G11">
        <f t="shared" si="0"/>
        <v>55</v>
      </c>
      <c r="H11">
        <f t="shared" si="0"/>
        <v>60</v>
      </c>
      <c r="I11">
        <f t="shared" si="0"/>
        <v>65</v>
      </c>
      <c r="J11">
        <f t="shared" si="0"/>
        <v>70</v>
      </c>
      <c r="K11">
        <f t="shared" si="0"/>
        <v>75</v>
      </c>
      <c r="L11">
        <f t="shared" si="0"/>
        <v>80</v>
      </c>
      <c r="M11">
        <f t="shared" si="0"/>
        <v>85</v>
      </c>
      <c r="N11" s="3"/>
      <c r="O11" s="3"/>
    </row>
    <row r="12" spans="1:18" x14ac:dyDescent="0.25">
      <c r="A12">
        <v>0</v>
      </c>
      <c r="B12" s="1">
        <f>MIN(IF(B$11&lt;=$A12,0,1),5.8)</f>
        <v>1</v>
      </c>
      <c r="C12" s="1">
        <f t="shared" ref="C12:J27" si="1">MIN(IF(C$11&lt;=$A12,0,1),5.8)</f>
        <v>1</v>
      </c>
      <c r="D12" s="1">
        <f t="shared" si="1"/>
        <v>1</v>
      </c>
      <c r="E12" s="1">
        <f t="shared" si="1"/>
        <v>1</v>
      </c>
      <c r="F12" s="1">
        <f t="shared" si="1"/>
        <v>1</v>
      </c>
      <c r="G12" s="1">
        <f t="shared" si="1"/>
        <v>1</v>
      </c>
      <c r="H12" s="1">
        <f t="shared" si="1"/>
        <v>1</v>
      </c>
      <c r="I12" s="1">
        <v>3</v>
      </c>
      <c r="J12" s="1">
        <v>3</v>
      </c>
      <c r="K12" s="1">
        <v>3.4</v>
      </c>
      <c r="L12" s="1">
        <v>3.4</v>
      </c>
      <c r="M12" s="1">
        <v>3.4</v>
      </c>
      <c r="N12" s="3"/>
      <c r="O12" s="3"/>
      <c r="R12" s="3"/>
    </row>
    <row r="13" spans="1:18" x14ac:dyDescent="0.25">
      <c r="A13">
        <f>A12+5</f>
        <v>5</v>
      </c>
      <c r="B13" s="1">
        <f t="shared" ref="B13:K28" si="2">MIN(IF(B$11&lt;=$A13,0,1),5.8)</f>
        <v>1</v>
      </c>
      <c r="C13" s="1">
        <f t="shared" si="1"/>
        <v>1</v>
      </c>
      <c r="D13" s="1">
        <f t="shared" si="1"/>
        <v>1</v>
      </c>
      <c r="E13" s="1">
        <f t="shared" si="1"/>
        <v>1</v>
      </c>
      <c r="F13" s="1">
        <f t="shared" si="1"/>
        <v>1</v>
      </c>
      <c r="G13" s="1">
        <f t="shared" si="1"/>
        <v>1</v>
      </c>
      <c r="H13" s="1">
        <f t="shared" si="1"/>
        <v>1</v>
      </c>
      <c r="I13" s="1">
        <v>3.9</v>
      </c>
      <c r="J13" s="1">
        <v>4.5</v>
      </c>
      <c r="K13" s="1">
        <v>3.4</v>
      </c>
      <c r="L13" s="1">
        <v>3.4</v>
      </c>
      <c r="M13" s="1">
        <v>3.4</v>
      </c>
      <c r="N13" s="3"/>
      <c r="O13" s="3"/>
    </row>
    <row r="14" spans="1:18" x14ac:dyDescent="0.25">
      <c r="A14">
        <f t="shared" ref="A14:A28" si="3">A13+5</f>
        <v>10</v>
      </c>
      <c r="B14" s="1">
        <f t="shared" si="2"/>
        <v>1</v>
      </c>
      <c r="C14" s="1">
        <f t="shared" si="1"/>
        <v>1</v>
      </c>
      <c r="D14" s="1">
        <f t="shared" si="1"/>
        <v>1</v>
      </c>
      <c r="E14" s="1">
        <f t="shared" si="1"/>
        <v>1</v>
      </c>
      <c r="F14" s="1">
        <f t="shared" si="1"/>
        <v>1</v>
      </c>
      <c r="G14" s="1">
        <f t="shared" si="1"/>
        <v>1</v>
      </c>
      <c r="H14" s="1">
        <f t="shared" si="1"/>
        <v>1</v>
      </c>
      <c r="I14" s="1">
        <v>4</v>
      </c>
      <c r="J14" s="1">
        <v>4.8</v>
      </c>
      <c r="K14" s="1">
        <v>4.5</v>
      </c>
      <c r="L14" s="1">
        <v>4.0999999999999996</v>
      </c>
      <c r="M14" s="1">
        <v>3.8</v>
      </c>
      <c r="N14" s="3"/>
      <c r="O14" s="3"/>
    </row>
    <row r="15" spans="1:18" x14ac:dyDescent="0.25">
      <c r="A15">
        <f t="shared" si="3"/>
        <v>15</v>
      </c>
      <c r="B15" s="1">
        <f t="shared" si="2"/>
        <v>1</v>
      </c>
      <c r="C15" s="1">
        <f t="shared" si="1"/>
        <v>1</v>
      </c>
      <c r="D15" s="1">
        <f t="shared" si="1"/>
        <v>1</v>
      </c>
      <c r="E15" s="1">
        <f t="shared" si="1"/>
        <v>1</v>
      </c>
      <c r="F15" s="1">
        <f t="shared" si="1"/>
        <v>1</v>
      </c>
      <c r="G15" s="1">
        <f t="shared" si="1"/>
        <v>1</v>
      </c>
      <c r="H15" s="1">
        <f t="shared" si="1"/>
        <v>1</v>
      </c>
      <c r="I15" s="1">
        <v>4</v>
      </c>
      <c r="J15" s="1">
        <v>4.8</v>
      </c>
      <c r="K15" s="1">
        <v>4.8</v>
      </c>
      <c r="L15" s="1">
        <v>4.5</v>
      </c>
      <c r="M15" s="1">
        <v>4.0999999999999996</v>
      </c>
      <c r="N15" s="3"/>
      <c r="O15" s="3"/>
    </row>
    <row r="16" spans="1:18" x14ac:dyDescent="0.25">
      <c r="A16">
        <f t="shared" si="3"/>
        <v>20</v>
      </c>
      <c r="B16" s="1">
        <f t="shared" si="2"/>
        <v>1</v>
      </c>
      <c r="C16" s="1">
        <f t="shared" si="1"/>
        <v>1</v>
      </c>
      <c r="D16" s="1">
        <f t="shared" si="1"/>
        <v>1</v>
      </c>
      <c r="E16" s="1">
        <f t="shared" si="1"/>
        <v>1</v>
      </c>
      <c r="F16" s="1">
        <f t="shared" si="1"/>
        <v>1</v>
      </c>
      <c r="G16" s="1">
        <f t="shared" si="1"/>
        <v>1</v>
      </c>
      <c r="H16" s="1">
        <f t="shared" si="1"/>
        <v>1</v>
      </c>
      <c r="I16" s="1">
        <v>4.1026785714285721</v>
      </c>
      <c r="J16" s="1">
        <v>4.7</v>
      </c>
      <c r="K16" s="1">
        <v>4.8</v>
      </c>
      <c r="L16" s="1">
        <v>4.8</v>
      </c>
      <c r="M16" s="1">
        <v>4.5</v>
      </c>
      <c r="N16" s="3"/>
      <c r="O16" s="3"/>
    </row>
    <row r="17" spans="1:15" x14ac:dyDescent="0.25">
      <c r="A17">
        <f t="shared" si="3"/>
        <v>25</v>
      </c>
      <c r="B17" s="1">
        <f t="shared" si="2"/>
        <v>1</v>
      </c>
      <c r="C17" s="1">
        <f t="shared" si="1"/>
        <v>1</v>
      </c>
      <c r="D17" s="1">
        <f t="shared" si="1"/>
        <v>1</v>
      </c>
      <c r="E17" s="1">
        <f t="shared" si="1"/>
        <v>1</v>
      </c>
      <c r="F17" s="1">
        <f t="shared" si="1"/>
        <v>1</v>
      </c>
      <c r="G17" s="1">
        <f t="shared" si="1"/>
        <v>1</v>
      </c>
      <c r="H17" s="1">
        <f t="shared" si="1"/>
        <v>1</v>
      </c>
      <c r="I17" s="1">
        <v>4.0999999999999996</v>
      </c>
      <c r="J17" s="1">
        <v>4.7</v>
      </c>
      <c r="K17" s="1">
        <v>4.7</v>
      </c>
      <c r="L17" s="1">
        <v>4.8</v>
      </c>
      <c r="M17" s="1">
        <v>4.8</v>
      </c>
      <c r="N17" s="3"/>
      <c r="O17" s="3"/>
    </row>
    <row r="18" spans="1:15" x14ac:dyDescent="0.25">
      <c r="A18">
        <f t="shared" si="3"/>
        <v>30</v>
      </c>
      <c r="B18" s="1">
        <f t="shared" si="2"/>
        <v>0</v>
      </c>
      <c r="C18" s="1">
        <f t="shared" si="1"/>
        <v>1</v>
      </c>
      <c r="D18" s="1">
        <f t="shared" si="1"/>
        <v>1</v>
      </c>
      <c r="E18" s="1">
        <f t="shared" si="1"/>
        <v>1</v>
      </c>
      <c r="F18" s="1">
        <f t="shared" si="1"/>
        <v>1</v>
      </c>
      <c r="G18" s="1">
        <f t="shared" si="1"/>
        <v>1</v>
      </c>
      <c r="H18" s="1">
        <f t="shared" si="1"/>
        <v>1</v>
      </c>
      <c r="I18" s="1">
        <v>4</v>
      </c>
      <c r="J18" s="1">
        <v>4.5999999999999996</v>
      </c>
      <c r="K18" s="1">
        <v>4.7</v>
      </c>
      <c r="L18" s="1">
        <v>4.7</v>
      </c>
      <c r="M18" s="1">
        <v>4.8</v>
      </c>
      <c r="N18" s="3"/>
      <c r="O18" s="3"/>
    </row>
    <row r="19" spans="1:15" x14ac:dyDescent="0.25">
      <c r="A19">
        <f t="shared" si="3"/>
        <v>35</v>
      </c>
      <c r="B19" s="1">
        <f t="shared" si="2"/>
        <v>0</v>
      </c>
      <c r="C19" s="1">
        <f t="shared" si="1"/>
        <v>0</v>
      </c>
      <c r="D19" s="1">
        <f t="shared" si="1"/>
        <v>1</v>
      </c>
      <c r="E19" s="1">
        <f t="shared" si="1"/>
        <v>1</v>
      </c>
      <c r="F19" s="1">
        <f t="shared" si="1"/>
        <v>1</v>
      </c>
      <c r="G19" s="1">
        <f t="shared" si="1"/>
        <v>1</v>
      </c>
      <c r="H19" s="1">
        <f t="shared" si="1"/>
        <v>1</v>
      </c>
      <c r="I19" s="1">
        <v>3.9</v>
      </c>
      <c r="J19" s="1">
        <v>4</v>
      </c>
      <c r="K19" s="1">
        <v>4.5999999999999996</v>
      </c>
      <c r="L19" s="1">
        <v>4.7</v>
      </c>
      <c r="M19" s="1">
        <v>4.7</v>
      </c>
      <c r="N19" s="3"/>
      <c r="O19" s="3"/>
    </row>
    <row r="20" spans="1:15" x14ac:dyDescent="0.25">
      <c r="A20">
        <f t="shared" si="3"/>
        <v>40</v>
      </c>
      <c r="B20" s="1">
        <f t="shared" si="2"/>
        <v>0</v>
      </c>
      <c r="C20" s="1">
        <f t="shared" si="1"/>
        <v>0</v>
      </c>
      <c r="D20" s="1">
        <f t="shared" si="1"/>
        <v>0</v>
      </c>
      <c r="E20" s="1">
        <f t="shared" si="1"/>
        <v>1</v>
      </c>
      <c r="F20" s="1">
        <f t="shared" si="1"/>
        <v>1</v>
      </c>
      <c r="G20" s="1">
        <f t="shared" si="1"/>
        <v>1</v>
      </c>
      <c r="H20" s="1">
        <f t="shared" si="1"/>
        <v>1</v>
      </c>
      <c r="I20" s="1">
        <v>3.9</v>
      </c>
      <c r="J20" s="1">
        <v>4</v>
      </c>
      <c r="K20" s="1">
        <v>4</v>
      </c>
      <c r="L20" s="1">
        <v>4.5999999999999996</v>
      </c>
      <c r="M20" s="1">
        <v>4.7</v>
      </c>
      <c r="N20" s="3"/>
      <c r="O20" s="3"/>
    </row>
    <row r="21" spans="1:15" x14ac:dyDescent="0.25">
      <c r="A21">
        <f t="shared" si="3"/>
        <v>45</v>
      </c>
      <c r="B21" s="1">
        <f t="shared" si="2"/>
        <v>0</v>
      </c>
      <c r="C21" s="1">
        <f t="shared" si="1"/>
        <v>0</v>
      </c>
      <c r="D21" s="1">
        <f t="shared" si="1"/>
        <v>0</v>
      </c>
      <c r="E21" s="1">
        <f t="shared" si="1"/>
        <v>0</v>
      </c>
      <c r="F21" s="1">
        <f t="shared" si="1"/>
        <v>1</v>
      </c>
      <c r="G21" s="1">
        <f t="shared" si="1"/>
        <v>1</v>
      </c>
      <c r="H21" s="1">
        <f t="shared" si="1"/>
        <v>1</v>
      </c>
      <c r="I21" s="1">
        <v>3</v>
      </c>
      <c r="J21" s="1">
        <v>4</v>
      </c>
      <c r="K21" s="1">
        <v>4</v>
      </c>
      <c r="L21" s="1">
        <v>4</v>
      </c>
      <c r="M21" s="1">
        <v>4.5999999999999996</v>
      </c>
      <c r="N21" s="3"/>
      <c r="O21" s="3"/>
    </row>
    <row r="22" spans="1:15" x14ac:dyDescent="0.25">
      <c r="A22">
        <f t="shared" si="3"/>
        <v>50</v>
      </c>
      <c r="B22" s="1">
        <f t="shared" si="2"/>
        <v>0</v>
      </c>
      <c r="C22" s="1">
        <f t="shared" si="1"/>
        <v>0</v>
      </c>
      <c r="D22" s="1">
        <f t="shared" si="1"/>
        <v>0</v>
      </c>
      <c r="E22" s="1">
        <f t="shared" si="1"/>
        <v>0</v>
      </c>
      <c r="F22" s="1">
        <f t="shared" si="1"/>
        <v>0</v>
      </c>
      <c r="G22" s="1">
        <f t="shared" si="1"/>
        <v>1</v>
      </c>
      <c r="H22" s="1">
        <f t="shared" si="1"/>
        <v>1</v>
      </c>
      <c r="I22" s="1">
        <v>3</v>
      </c>
      <c r="J22" s="1">
        <v>3.5</v>
      </c>
      <c r="K22" s="1">
        <v>4</v>
      </c>
      <c r="L22" s="1">
        <v>4</v>
      </c>
      <c r="M22" s="1">
        <v>4</v>
      </c>
      <c r="N22" s="3"/>
      <c r="O22" s="3"/>
    </row>
    <row r="23" spans="1:15" x14ac:dyDescent="0.25">
      <c r="A23">
        <f t="shared" si="3"/>
        <v>55</v>
      </c>
      <c r="B23" s="1">
        <f t="shared" si="2"/>
        <v>0</v>
      </c>
      <c r="C23" s="1">
        <f t="shared" si="1"/>
        <v>0</v>
      </c>
      <c r="D23" s="1">
        <f t="shared" si="1"/>
        <v>0</v>
      </c>
      <c r="E23" s="1">
        <f t="shared" si="1"/>
        <v>0</v>
      </c>
      <c r="F23" s="1">
        <f t="shared" si="1"/>
        <v>0</v>
      </c>
      <c r="G23" s="1">
        <f t="shared" si="1"/>
        <v>0</v>
      </c>
      <c r="H23" s="1">
        <f t="shared" si="1"/>
        <v>1</v>
      </c>
      <c r="I23" s="1">
        <v>3</v>
      </c>
      <c r="J23" s="1">
        <v>3.5</v>
      </c>
      <c r="K23" s="1">
        <v>3.5</v>
      </c>
      <c r="L23" s="1">
        <v>4</v>
      </c>
      <c r="M23" s="1">
        <v>4</v>
      </c>
      <c r="N23" s="3"/>
      <c r="O23" s="3"/>
    </row>
    <row r="24" spans="1:15" x14ac:dyDescent="0.25">
      <c r="A24">
        <f t="shared" si="3"/>
        <v>60</v>
      </c>
      <c r="B24" s="1">
        <f t="shared" si="2"/>
        <v>0</v>
      </c>
      <c r="C24" s="1">
        <f t="shared" si="1"/>
        <v>0</v>
      </c>
      <c r="D24" s="1">
        <f t="shared" si="1"/>
        <v>0</v>
      </c>
      <c r="E24" s="1">
        <f t="shared" si="1"/>
        <v>0</v>
      </c>
      <c r="F24" s="1">
        <f t="shared" si="1"/>
        <v>0</v>
      </c>
      <c r="G24" s="1">
        <f t="shared" si="1"/>
        <v>0</v>
      </c>
      <c r="H24" s="1">
        <f t="shared" si="1"/>
        <v>0</v>
      </c>
      <c r="I24" s="1">
        <v>3</v>
      </c>
      <c r="J24" s="1">
        <v>3</v>
      </c>
      <c r="K24" s="1">
        <v>3.5</v>
      </c>
      <c r="L24" s="1">
        <v>3.5</v>
      </c>
      <c r="M24" s="1">
        <v>4</v>
      </c>
      <c r="N24" s="3"/>
      <c r="O24" s="3"/>
    </row>
    <row r="25" spans="1:15" x14ac:dyDescent="0.25">
      <c r="A25">
        <f t="shared" si="3"/>
        <v>65</v>
      </c>
      <c r="B25" s="1">
        <f t="shared" si="2"/>
        <v>0</v>
      </c>
      <c r="C25" s="1">
        <f t="shared" si="1"/>
        <v>0</v>
      </c>
      <c r="D25" s="1">
        <f t="shared" si="1"/>
        <v>0</v>
      </c>
      <c r="E25" s="1">
        <f t="shared" si="1"/>
        <v>0</v>
      </c>
      <c r="F25" s="1">
        <f t="shared" si="1"/>
        <v>0</v>
      </c>
      <c r="G25" s="1">
        <f t="shared" si="1"/>
        <v>0</v>
      </c>
      <c r="H25" s="1">
        <f t="shared" si="1"/>
        <v>0</v>
      </c>
      <c r="I25" s="1">
        <v>3</v>
      </c>
      <c r="J25" s="1">
        <v>3</v>
      </c>
      <c r="K25" s="1">
        <v>3</v>
      </c>
      <c r="L25" s="1">
        <v>3.5</v>
      </c>
      <c r="M25" s="1">
        <v>4</v>
      </c>
      <c r="N25" s="3"/>
      <c r="O25" s="3"/>
    </row>
    <row r="26" spans="1:15" x14ac:dyDescent="0.25">
      <c r="A26">
        <f t="shared" si="3"/>
        <v>70</v>
      </c>
      <c r="B26" s="1">
        <f t="shared" si="2"/>
        <v>0</v>
      </c>
      <c r="C26" s="1">
        <f t="shared" si="1"/>
        <v>0</v>
      </c>
      <c r="D26" s="1">
        <f t="shared" si="1"/>
        <v>0</v>
      </c>
      <c r="E26" s="1">
        <f t="shared" si="1"/>
        <v>0</v>
      </c>
      <c r="F26" s="1">
        <f t="shared" si="1"/>
        <v>0</v>
      </c>
      <c r="G26" s="1">
        <f t="shared" si="1"/>
        <v>0</v>
      </c>
      <c r="H26" s="1">
        <f t="shared" si="1"/>
        <v>0</v>
      </c>
      <c r="I26" s="1">
        <f t="shared" si="1"/>
        <v>0</v>
      </c>
      <c r="J26" s="1">
        <v>3</v>
      </c>
      <c r="K26" s="1">
        <v>3</v>
      </c>
      <c r="L26" s="1">
        <v>3</v>
      </c>
      <c r="M26" s="1">
        <v>3</v>
      </c>
      <c r="N26" s="3"/>
      <c r="O26" s="3"/>
    </row>
    <row r="27" spans="1:15" x14ac:dyDescent="0.25">
      <c r="A27">
        <f t="shared" si="3"/>
        <v>75</v>
      </c>
      <c r="B27" s="1">
        <f t="shared" si="2"/>
        <v>0</v>
      </c>
      <c r="C27" s="1">
        <f t="shared" si="1"/>
        <v>0</v>
      </c>
      <c r="D27" s="1">
        <f t="shared" si="1"/>
        <v>0</v>
      </c>
      <c r="E27" s="1">
        <f t="shared" si="1"/>
        <v>0</v>
      </c>
      <c r="F27" s="1">
        <f t="shared" si="1"/>
        <v>0</v>
      </c>
      <c r="G27" s="1">
        <f t="shared" si="1"/>
        <v>0</v>
      </c>
      <c r="H27" s="1">
        <f t="shared" si="1"/>
        <v>0</v>
      </c>
      <c r="I27" s="1">
        <f t="shared" si="1"/>
        <v>0</v>
      </c>
      <c r="J27" s="1">
        <f t="shared" si="1"/>
        <v>0</v>
      </c>
      <c r="K27" s="1">
        <v>3</v>
      </c>
      <c r="L27" s="1">
        <v>3</v>
      </c>
      <c r="M27" s="1">
        <v>3</v>
      </c>
      <c r="N27" s="3"/>
      <c r="O27" s="3"/>
    </row>
    <row r="28" spans="1:15" x14ac:dyDescent="0.25">
      <c r="A28">
        <f t="shared" si="3"/>
        <v>80</v>
      </c>
      <c r="B28" s="1">
        <f t="shared" si="2"/>
        <v>0</v>
      </c>
      <c r="C28" s="1">
        <f t="shared" si="2"/>
        <v>0</v>
      </c>
      <c r="D28" s="1">
        <f t="shared" si="2"/>
        <v>0</v>
      </c>
      <c r="E28" s="1">
        <f t="shared" si="2"/>
        <v>0</v>
      </c>
      <c r="F28" s="1">
        <f t="shared" si="2"/>
        <v>0</v>
      </c>
      <c r="G28" s="1">
        <f t="shared" si="2"/>
        <v>0</v>
      </c>
      <c r="H28" s="1">
        <f t="shared" si="2"/>
        <v>0</v>
      </c>
      <c r="I28" s="1">
        <f t="shared" si="2"/>
        <v>0</v>
      </c>
      <c r="J28" s="1">
        <f t="shared" si="2"/>
        <v>0</v>
      </c>
      <c r="K28" s="1">
        <f t="shared" si="2"/>
        <v>0</v>
      </c>
      <c r="L28" s="1">
        <v>3</v>
      </c>
      <c r="M28" s="1">
        <v>3</v>
      </c>
      <c r="N28" s="3"/>
      <c r="O28" s="3"/>
    </row>
    <row r="29" spans="1:15" x14ac:dyDescent="0.25">
      <c r="A29">
        <f>A28+5</f>
        <v>85</v>
      </c>
      <c r="B29" s="1">
        <f t="shared" ref="B29:L29" si="4">MIN(IF(B$11&lt;=$A29,0,1),5.8)</f>
        <v>0</v>
      </c>
      <c r="C29" s="1">
        <f t="shared" si="4"/>
        <v>0</v>
      </c>
      <c r="D29" s="1">
        <f t="shared" si="4"/>
        <v>0</v>
      </c>
      <c r="E29" s="1">
        <f t="shared" si="4"/>
        <v>0</v>
      </c>
      <c r="F29" s="1">
        <f t="shared" si="4"/>
        <v>0</v>
      </c>
      <c r="G29" s="1">
        <f t="shared" si="4"/>
        <v>0</v>
      </c>
      <c r="H29" s="1">
        <f t="shared" si="4"/>
        <v>0</v>
      </c>
      <c r="I29" s="1">
        <f t="shared" si="4"/>
        <v>0</v>
      </c>
      <c r="J29" s="1">
        <f t="shared" si="4"/>
        <v>0</v>
      </c>
      <c r="K29" s="1">
        <f t="shared" si="4"/>
        <v>0</v>
      </c>
      <c r="L29" s="1">
        <f t="shared" si="4"/>
        <v>0</v>
      </c>
      <c r="M29" s="1">
        <v>3</v>
      </c>
    </row>
    <row r="31" spans="1:15" x14ac:dyDescent="0.25">
      <c r="A31" t="s">
        <v>16</v>
      </c>
      <c r="B31" t="s">
        <v>9</v>
      </c>
    </row>
    <row r="32" spans="1:15" x14ac:dyDescent="0.25">
      <c r="A32" t="s">
        <v>4</v>
      </c>
      <c r="B32">
        <v>-10</v>
      </c>
      <c r="C32">
        <f>B32+5</f>
        <v>-5</v>
      </c>
      <c r="D32">
        <f t="shared" ref="D32:M32" si="5">C32+5</f>
        <v>0</v>
      </c>
      <c r="E32">
        <f t="shared" si="5"/>
        <v>5</v>
      </c>
      <c r="F32">
        <f t="shared" si="5"/>
        <v>10</v>
      </c>
      <c r="G32">
        <f t="shared" si="5"/>
        <v>15</v>
      </c>
      <c r="H32">
        <f t="shared" si="5"/>
        <v>20</v>
      </c>
      <c r="I32">
        <f t="shared" si="5"/>
        <v>25</v>
      </c>
      <c r="J32">
        <f t="shared" si="5"/>
        <v>30</v>
      </c>
      <c r="K32">
        <f t="shared" si="5"/>
        <v>35</v>
      </c>
      <c r="L32">
        <f t="shared" si="5"/>
        <v>40</v>
      </c>
      <c r="M32">
        <f t="shared" si="5"/>
        <v>45</v>
      </c>
    </row>
    <row r="33" spans="1:26" x14ac:dyDescent="0.25">
      <c r="A33">
        <v>0</v>
      </c>
      <c r="B33" s="1">
        <v>2.8</v>
      </c>
      <c r="C33" s="1">
        <v>2.7</v>
      </c>
      <c r="D33" s="1">
        <f t="shared" ref="D33:M48" si="6">MIN(IF($A33&lt;=D$32,0,1),5)</f>
        <v>0</v>
      </c>
      <c r="E33" s="1">
        <f t="shared" si="6"/>
        <v>0</v>
      </c>
      <c r="F33" s="1">
        <f t="shared" si="6"/>
        <v>0</v>
      </c>
      <c r="G33" s="1">
        <f t="shared" si="6"/>
        <v>0</v>
      </c>
      <c r="H33" s="1">
        <f t="shared" si="6"/>
        <v>0</v>
      </c>
      <c r="I33" s="1">
        <f t="shared" si="6"/>
        <v>0</v>
      </c>
      <c r="J33" s="1">
        <f t="shared" si="6"/>
        <v>0</v>
      </c>
      <c r="K33" s="1">
        <f t="shared" si="6"/>
        <v>0</v>
      </c>
      <c r="L33" s="1">
        <f t="shared" si="6"/>
        <v>0</v>
      </c>
      <c r="M33" s="1">
        <f t="shared" si="6"/>
        <v>0</v>
      </c>
    </row>
    <row r="34" spans="1:26" x14ac:dyDescent="0.25">
      <c r="A34">
        <f>A33+5</f>
        <v>5</v>
      </c>
      <c r="B34" s="1">
        <f>B33</f>
        <v>2.8</v>
      </c>
      <c r="C34" s="1">
        <f>C33</f>
        <v>2.7</v>
      </c>
      <c r="D34" s="1">
        <v>2.7</v>
      </c>
      <c r="E34" s="1">
        <f t="shared" si="6"/>
        <v>0</v>
      </c>
      <c r="F34" s="1">
        <f t="shared" si="6"/>
        <v>0</v>
      </c>
      <c r="G34" s="1">
        <f t="shared" si="6"/>
        <v>0</v>
      </c>
      <c r="H34" s="1">
        <f t="shared" si="6"/>
        <v>0</v>
      </c>
      <c r="I34" s="1">
        <f t="shared" si="6"/>
        <v>0</v>
      </c>
      <c r="J34" s="1">
        <f t="shared" si="6"/>
        <v>0</v>
      </c>
      <c r="K34" s="1">
        <f t="shared" si="6"/>
        <v>0</v>
      </c>
      <c r="L34" s="1">
        <f t="shared" si="6"/>
        <v>0</v>
      </c>
      <c r="M34" s="1">
        <f t="shared" si="6"/>
        <v>0</v>
      </c>
      <c r="P34" s="1"/>
      <c r="Q34" s="1"/>
      <c r="R34" s="1"/>
      <c r="S34" s="1"/>
      <c r="T34" s="1"/>
      <c r="U34" s="1"/>
      <c r="V34" s="1"/>
      <c r="W34" s="1"/>
      <c r="X34" s="1"/>
      <c r="Y34" s="1"/>
      <c r="Z34" s="1"/>
    </row>
    <row r="35" spans="1:26" x14ac:dyDescent="0.25">
      <c r="A35">
        <f t="shared" ref="A35:A49" si="7">A34+5</f>
        <v>10</v>
      </c>
      <c r="B35" s="1">
        <f t="shared" ref="B35:B50" si="8">B34</f>
        <v>2.8</v>
      </c>
      <c r="C35" s="1">
        <f t="shared" ref="C35:C50" si="9">C34</f>
        <v>2.7</v>
      </c>
      <c r="D35" s="1">
        <f>D34</f>
        <v>2.7</v>
      </c>
      <c r="E35" s="1">
        <v>2.6</v>
      </c>
      <c r="F35" s="1">
        <f t="shared" si="6"/>
        <v>0</v>
      </c>
      <c r="G35" s="1">
        <f t="shared" si="6"/>
        <v>0</v>
      </c>
      <c r="H35" s="1">
        <f t="shared" si="6"/>
        <v>0</v>
      </c>
      <c r="I35" s="1">
        <f t="shared" si="6"/>
        <v>0</v>
      </c>
      <c r="J35" s="1">
        <f t="shared" si="6"/>
        <v>0</v>
      </c>
      <c r="K35" s="1">
        <f t="shared" si="6"/>
        <v>0</v>
      </c>
      <c r="L35" s="1">
        <f t="shared" si="6"/>
        <v>0</v>
      </c>
      <c r="M35" s="1">
        <f t="shared" si="6"/>
        <v>0</v>
      </c>
      <c r="P35" s="1"/>
      <c r="Q35" s="1"/>
      <c r="R35" s="1"/>
      <c r="S35" s="1"/>
      <c r="T35" s="1"/>
      <c r="U35" s="1"/>
      <c r="V35" s="1"/>
      <c r="W35" s="1"/>
      <c r="X35" s="1"/>
      <c r="Y35" s="1"/>
      <c r="Z35" s="1"/>
    </row>
    <row r="36" spans="1:26" x14ac:dyDescent="0.25">
      <c r="A36">
        <f t="shared" si="7"/>
        <v>15</v>
      </c>
      <c r="B36" s="1">
        <f t="shared" si="8"/>
        <v>2.8</v>
      </c>
      <c r="C36" s="1">
        <f t="shared" si="9"/>
        <v>2.7</v>
      </c>
      <c r="D36" s="1">
        <f t="shared" ref="D36:D50" si="10">D35</f>
        <v>2.7</v>
      </c>
      <c r="E36" s="1">
        <f>E35</f>
        <v>2.6</v>
      </c>
      <c r="F36" s="1">
        <v>2</v>
      </c>
      <c r="G36" s="1">
        <f t="shared" si="6"/>
        <v>0</v>
      </c>
      <c r="H36" s="1">
        <f t="shared" si="6"/>
        <v>0</v>
      </c>
      <c r="I36" s="1">
        <f t="shared" si="6"/>
        <v>0</v>
      </c>
      <c r="J36" s="1">
        <f t="shared" si="6"/>
        <v>0</v>
      </c>
      <c r="K36" s="1">
        <f t="shared" si="6"/>
        <v>0</v>
      </c>
      <c r="L36" s="1">
        <f t="shared" si="6"/>
        <v>0</v>
      </c>
      <c r="M36" s="1">
        <f t="shared" si="6"/>
        <v>0</v>
      </c>
      <c r="P36" s="1"/>
      <c r="Q36" s="1"/>
      <c r="R36" s="1"/>
      <c r="S36" s="1"/>
      <c r="T36" s="1"/>
      <c r="U36" s="1"/>
      <c r="V36" s="1"/>
      <c r="W36" s="1"/>
      <c r="X36" s="1"/>
      <c r="Y36" s="1"/>
      <c r="Z36" s="1"/>
    </row>
    <row r="37" spans="1:26" x14ac:dyDescent="0.25">
      <c r="A37">
        <f t="shared" si="7"/>
        <v>20</v>
      </c>
      <c r="B37" s="1">
        <f t="shared" si="8"/>
        <v>2.8</v>
      </c>
      <c r="C37" s="1">
        <f t="shared" si="9"/>
        <v>2.7</v>
      </c>
      <c r="D37" s="1">
        <f t="shared" si="10"/>
        <v>2.7</v>
      </c>
      <c r="E37" s="1">
        <f t="shared" ref="E37:E50" si="11">E36</f>
        <v>2.6</v>
      </c>
      <c r="F37" s="1">
        <v>2</v>
      </c>
      <c r="G37" s="1">
        <v>1.5</v>
      </c>
      <c r="H37" s="1">
        <f t="shared" si="6"/>
        <v>0</v>
      </c>
      <c r="I37" s="1">
        <f t="shared" si="6"/>
        <v>0</v>
      </c>
      <c r="J37" s="1">
        <f t="shared" si="6"/>
        <v>0</v>
      </c>
      <c r="K37" s="1">
        <f t="shared" si="6"/>
        <v>0</v>
      </c>
      <c r="L37" s="1">
        <f t="shared" si="6"/>
        <v>0</v>
      </c>
      <c r="M37" s="1">
        <f t="shared" si="6"/>
        <v>0</v>
      </c>
      <c r="P37" s="1"/>
      <c r="Q37" s="1"/>
      <c r="R37" s="1"/>
      <c r="S37" s="1"/>
      <c r="T37" s="1"/>
      <c r="U37" s="1"/>
      <c r="V37" s="1"/>
      <c r="W37" s="1"/>
      <c r="X37" s="1"/>
      <c r="Y37" s="1"/>
      <c r="Z37" s="1"/>
    </row>
    <row r="38" spans="1:26" x14ac:dyDescent="0.25">
      <c r="A38">
        <f t="shared" si="7"/>
        <v>25</v>
      </c>
      <c r="B38" s="1">
        <f t="shared" si="8"/>
        <v>2.8</v>
      </c>
      <c r="C38" s="1">
        <f t="shared" si="9"/>
        <v>2.7</v>
      </c>
      <c r="D38" s="1">
        <f t="shared" si="10"/>
        <v>2.7</v>
      </c>
      <c r="E38" s="1">
        <f t="shared" si="11"/>
        <v>2.6</v>
      </c>
      <c r="F38" s="1">
        <v>2</v>
      </c>
      <c r="G38" s="1">
        <v>1.5</v>
      </c>
      <c r="H38" s="1">
        <v>1</v>
      </c>
      <c r="I38" s="1">
        <f t="shared" si="6"/>
        <v>0</v>
      </c>
      <c r="J38" s="1">
        <f t="shared" si="6"/>
        <v>0</v>
      </c>
      <c r="K38" s="1">
        <f t="shared" si="6"/>
        <v>0</v>
      </c>
      <c r="L38" s="1">
        <f t="shared" si="6"/>
        <v>0</v>
      </c>
      <c r="M38" s="1">
        <f t="shared" si="6"/>
        <v>0</v>
      </c>
      <c r="P38" s="1"/>
      <c r="Q38" s="1"/>
      <c r="R38" s="1"/>
      <c r="S38" s="1"/>
      <c r="T38" s="1"/>
      <c r="U38" s="1"/>
      <c r="V38" s="1"/>
      <c r="W38" s="1"/>
      <c r="X38" s="1"/>
      <c r="Y38" s="1"/>
      <c r="Z38" s="1"/>
    </row>
    <row r="39" spans="1:26" x14ac:dyDescent="0.25">
      <c r="A39">
        <f t="shared" si="7"/>
        <v>30</v>
      </c>
      <c r="B39" s="1">
        <f t="shared" si="8"/>
        <v>2.8</v>
      </c>
      <c r="C39" s="1">
        <f t="shared" si="9"/>
        <v>2.7</v>
      </c>
      <c r="D39" s="1">
        <f t="shared" si="10"/>
        <v>2.7</v>
      </c>
      <c r="E39" s="1">
        <f t="shared" si="11"/>
        <v>2.6</v>
      </c>
      <c r="F39" s="1">
        <v>2</v>
      </c>
      <c r="G39" s="1">
        <v>1.5</v>
      </c>
      <c r="H39" s="1">
        <v>1</v>
      </c>
      <c r="I39" s="1">
        <v>1</v>
      </c>
      <c r="J39" s="1">
        <f t="shared" si="6"/>
        <v>0</v>
      </c>
      <c r="K39" s="1">
        <f t="shared" si="6"/>
        <v>0</v>
      </c>
      <c r="L39" s="1">
        <f t="shared" si="6"/>
        <v>0</v>
      </c>
      <c r="M39" s="1">
        <f t="shared" si="6"/>
        <v>0</v>
      </c>
      <c r="P39" s="1"/>
      <c r="Q39" s="1"/>
      <c r="R39" s="1"/>
      <c r="S39" s="1"/>
      <c r="T39" s="1"/>
      <c r="U39" s="1"/>
      <c r="V39" s="1"/>
      <c r="W39" s="1"/>
      <c r="X39" s="1"/>
      <c r="Y39" s="1"/>
      <c r="Z39" s="1"/>
    </row>
    <row r="40" spans="1:26" x14ac:dyDescent="0.25">
      <c r="A40">
        <f t="shared" si="7"/>
        <v>35</v>
      </c>
      <c r="B40" s="1">
        <f t="shared" si="8"/>
        <v>2.8</v>
      </c>
      <c r="C40" s="1">
        <f t="shared" si="9"/>
        <v>2.7</v>
      </c>
      <c r="D40" s="1">
        <f t="shared" si="10"/>
        <v>2.7</v>
      </c>
      <c r="E40" s="1">
        <f t="shared" si="11"/>
        <v>2.6</v>
      </c>
      <c r="F40" s="1">
        <v>2</v>
      </c>
      <c r="G40" s="1">
        <v>1.5</v>
      </c>
      <c r="H40" s="1">
        <v>1</v>
      </c>
      <c r="I40" s="1">
        <v>1</v>
      </c>
      <c r="J40" s="1">
        <v>1</v>
      </c>
      <c r="K40" s="1">
        <f t="shared" si="6"/>
        <v>0</v>
      </c>
      <c r="L40" s="1">
        <f t="shared" si="6"/>
        <v>0</v>
      </c>
      <c r="M40" s="1">
        <f t="shared" si="6"/>
        <v>0</v>
      </c>
      <c r="P40" s="1"/>
      <c r="Q40" s="1"/>
      <c r="R40" s="1"/>
      <c r="S40" s="1"/>
      <c r="T40" s="1"/>
      <c r="U40" s="1"/>
      <c r="V40" s="1"/>
      <c r="W40" s="1"/>
      <c r="X40" s="1"/>
      <c r="Y40" s="1"/>
      <c r="Z40" s="1"/>
    </row>
    <row r="41" spans="1:26" x14ac:dyDescent="0.25">
      <c r="A41">
        <f t="shared" si="7"/>
        <v>40</v>
      </c>
      <c r="B41" s="1">
        <f t="shared" si="8"/>
        <v>2.8</v>
      </c>
      <c r="C41" s="1">
        <f t="shared" si="9"/>
        <v>2.7</v>
      </c>
      <c r="D41" s="1">
        <f t="shared" si="10"/>
        <v>2.7</v>
      </c>
      <c r="E41" s="1">
        <f t="shared" si="11"/>
        <v>2.6</v>
      </c>
      <c r="F41" s="1">
        <v>2</v>
      </c>
      <c r="G41" s="1">
        <v>1.5</v>
      </c>
      <c r="H41" s="1">
        <v>1</v>
      </c>
      <c r="I41" s="1">
        <v>1</v>
      </c>
      <c r="J41" s="1">
        <v>1</v>
      </c>
      <c r="K41" s="1">
        <v>1</v>
      </c>
      <c r="L41" s="1">
        <f t="shared" si="6"/>
        <v>0</v>
      </c>
      <c r="M41" s="1">
        <f t="shared" si="6"/>
        <v>0</v>
      </c>
    </row>
    <row r="42" spans="1:26" x14ac:dyDescent="0.25">
      <c r="A42">
        <f t="shared" si="7"/>
        <v>45</v>
      </c>
      <c r="B42" s="1">
        <f t="shared" si="8"/>
        <v>2.8</v>
      </c>
      <c r="C42" s="1">
        <f t="shared" si="9"/>
        <v>2.7</v>
      </c>
      <c r="D42" s="1">
        <f t="shared" si="10"/>
        <v>2.7</v>
      </c>
      <c r="E42" s="1">
        <f t="shared" si="11"/>
        <v>2.6</v>
      </c>
      <c r="F42" s="1">
        <v>2</v>
      </c>
      <c r="G42" s="1">
        <v>1.5</v>
      </c>
      <c r="H42" s="1">
        <v>1</v>
      </c>
      <c r="I42" s="1">
        <v>1</v>
      </c>
      <c r="J42" s="1">
        <v>1</v>
      </c>
      <c r="K42" s="1">
        <v>1</v>
      </c>
      <c r="L42" s="1">
        <v>1</v>
      </c>
      <c r="M42" s="1">
        <f t="shared" si="6"/>
        <v>0</v>
      </c>
    </row>
    <row r="43" spans="1:26" x14ac:dyDescent="0.25">
      <c r="A43">
        <f t="shared" si="7"/>
        <v>50</v>
      </c>
      <c r="B43" s="1">
        <f t="shared" si="8"/>
        <v>2.8</v>
      </c>
      <c r="C43" s="1">
        <f t="shared" si="9"/>
        <v>2.7</v>
      </c>
      <c r="D43" s="1">
        <f t="shared" si="10"/>
        <v>2.7</v>
      </c>
      <c r="E43" s="1">
        <f t="shared" si="11"/>
        <v>2.6</v>
      </c>
      <c r="F43" s="1">
        <v>2</v>
      </c>
      <c r="G43" s="1">
        <v>1.5</v>
      </c>
      <c r="H43" s="1">
        <v>1</v>
      </c>
      <c r="I43" s="1">
        <v>1</v>
      </c>
      <c r="J43" s="1">
        <v>1</v>
      </c>
      <c r="K43" s="1">
        <v>1</v>
      </c>
      <c r="L43" s="1">
        <v>1</v>
      </c>
      <c r="M43" s="1">
        <f t="shared" si="6"/>
        <v>1</v>
      </c>
    </row>
    <row r="44" spans="1:26" x14ac:dyDescent="0.25">
      <c r="A44">
        <f t="shared" si="7"/>
        <v>55</v>
      </c>
      <c r="B44" s="1">
        <f t="shared" si="8"/>
        <v>2.8</v>
      </c>
      <c r="C44" s="1">
        <f t="shared" si="9"/>
        <v>2.7</v>
      </c>
      <c r="D44" s="1">
        <f t="shared" si="10"/>
        <v>2.7</v>
      </c>
      <c r="E44" s="1">
        <f t="shared" si="11"/>
        <v>2.6</v>
      </c>
      <c r="F44" s="1">
        <v>2</v>
      </c>
      <c r="G44" s="1">
        <v>1.5</v>
      </c>
      <c r="H44" s="1">
        <v>1</v>
      </c>
      <c r="I44" s="1">
        <v>1</v>
      </c>
      <c r="J44" s="1">
        <v>1</v>
      </c>
      <c r="K44" s="1">
        <v>1</v>
      </c>
      <c r="L44" s="1">
        <v>1</v>
      </c>
      <c r="M44" s="1">
        <f t="shared" si="6"/>
        <v>1</v>
      </c>
    </row>
    <row r="45" spans="1:26" x14ac:dyDescent="0.25">
      <c r="A45">
        <f t="shared" si="7"/>
        <v>60</v>
      </c>
      <c r="B45" s="1">
        <f t="shared" si="8"/>
        <v>2.8</v>
      </c>
      <c r="C45" s="1">
        <f t="shared" si="9"/>
        <v>2.7</v>
      </c>
      <c r="D45" s="1">
        <f t="shared" si="10"/>
        <v>2.7</v>
      </c>
      <c r="E45" s="1">
        <f t="shared" si="11"/>
        <v>2.6</v>
      </c>
      <c r="F45" s="1">
        <v>2</v>
      </c>
      <c r="G45" s="1">
        <v>1.5</v>
      </c>
      <c r="H45" s="1">
        <v>1</v>
      </c>
      <c r="I45" s="1">
        <v>1</v>
      </c>
      <c r="J45" s="1">
        <v>1</v>
      </c>
      <c r="K45" s="1">
        <v>1</v>
      </c>
      <c r="L45" s="1">
        <v>1</v>
      </c>
      <c r="M45" s="1">
        <f t="shared" si="6"/>
        <v>1</v>
      </c>
    </row>
    <row r="46" spans="1:26" x14ac:dyDescent="0.25">
      <c r="A46">
        <f t="shared" si="7"/>
        <v>65</v>
      </c>
      <c r="B46" s="1">
        <f t="shared" si="8"/>
        <v>2.8</v>
      </c>
      <c r="C46" s="1">
        <f t="shared" si="9"/>
        <v>2.7</v>
      </c>
      <c r="D46" s="1">
        <f t="shared" si="10"/>
        <v>2.7</v>
      </c>
      <c r="E46" s="1">
        <f t="shared" si="11"/>
        <v>2.6</v>
      </c>
      <c r="F46" s="1">
        <v>2</v>
      </c>
      <c r="G46" s="1">
        <v>1.5</v>
      </c>
      <c r="H46" s="1">
        <v>1</v>
      </c>
      <c r="I46" s="1">
        <v>1</v>
      </c>
      <c r="J46" s="1">
        <v>1</v>
      </c>
      <c r="K46" s="1">
        <v>1</v>
      </c>
      <c r="L46" s="1">
        <v>1</v>
      </c>
      <c r="M46" s="1">
        <f t="shared" si="6"/>
        <v>1</v>
      </c>
    </row>
    <row r="47" spans="1:26" x14ac:dyDescent="0.25">
      <c r="A47">
        <f t="shared" si="7"/>
        <v>70</v>
      </c>
      <c r="B47" s="1">
        <f t="shared" si="8"/>
        <v>2.8</v>
      </c>
      <c r="C47" s="1">
        <f t="shared" si="9"/>
        <v>2.7</v>
      </c>
      <c r="D47" s="1">
        <f t="shared" si="10"/>
        <v>2.7</v>
      </c>
      <c r="E47" s="1">
        <f t="shared" si="11"/>
        <v>2.6</v>
      </c>
      <c r="F47" s="1">
        <v>2</v>
      </c>
      <c r="G47" s="1">
        <v>1.5</v>
      </c>
      <c r="H47" s="1">
        <v>1</v>
      </c>
      <c r="I47" s="1">
        <v>1</v>
      </c>
      <c r="J47" s="1">
        <v>1</v>
      </c>
      <c r="K47" s="1">
        <v>1</v>
      </c>
      <c r="L47" s="1">
        <v>1</v>
      </c>
      <c r="M47" s="1">
        <f t="shared" si="6"/>
        <v>1</v>
      </c>
    </row>
    <row r="48" spans="1:26" x14ac:dyDescent="0.25">
      <c r="A48">
        <f t="shared" si="7"/>
        <v>75</v>
      </c>
      <c r="B48" s="1">
        <f t="shared" si="8"/>
        <v>2.8</v>
      </c>
      <c r="C48" s="1">
        <f t="shared" si="9"/>
        <v>2.7</v>
      </c>
      <c r="D48" s="1">
        <f t="shared" si="10"/>
        <v>2.7</v>
      </c>
      <c r="E48" s="1">
        <f t="shared" si="11"/>
        <v>2.6</v>
      </c>
      <c r="F48" s="1">
        <v>2</v>
      </c>
      <c r="G48" s="1">
        <v>1.5</v>
      </c>
      <c r="H48" s="1">
        <v>1</v>
      </c>
      <c r="I48" s="1">
        <v>1</v>
      </c>
      <c r="J48" s="1">
        <v>1</v>
      </c>
      <c r="K48" s="1">
        <v>1</v>
      </c>
      <c r="L48" s="1">
        <v>1</v>
      </c>
      <c r="M48" s="1">
        <f t="shared" si="6"/>
        <v>1</v>
      </c>
    </row>
    <row r="49" spans="1:18" x14ac:dyDescent="0.25">
      <c r="A49">
        <f t="shared" si="7"/>
        <v>80</v>
      </c>
      <c r="B49" s="1">
        <f t="shared" si="8"/>
        <v>2.8</v>
      </c>
      <c r="C49" s="1">
        <f t="shared" si="9"/>
        <v>2.7</v>
      </c>
      <c r="D49" s="1">
        <f t="shared" si="10"/>
        <v>2.7</v>
      </c>
      <c r="E49" s="1">
        <f t="shared" si="11"/>
        <v>2.6</v>
      </c>
      <c r="F49" s="1">
        <v>2</v>
      </c>
      <c r="G49" s="1">
        <v>1.5</v>
      </c>
      <c r="H49" s="1">
        <v>1</v>
      </c>
      <c r="I49" s="1">
        <v>1</v>
      </c>
      <c r="J49" s="1">
        <v>1</v>
      </c>
      <c r="K49" s="1">
        <v>1</v>
      </c>
      <c r="L49" s="1">
        <v>1</v>
      </c>
      <c r="M49" s="1">
        <f t="shared" ref="M49:M50" si="12">MIN(IF($A49&lt;=M$32,0,1),5)</f>
        <v>1</v>
      </c>
    </row>
    <row r="50" spans="1:18" x14ac:dyDescent="0.25">
      <c r="A50">
        <f>A49+5</f>
        <v>85</v>
      </c>
      <c r="B50" s="1">
        <f t="shared" si="8"/>
        <v>2.8</v>
      </c>
      <c r="C50" s="1">
        <f t="shared" si="9"/>
        <v>2.7</v>
      </c>
      <c r="D50" s="1">
        <f t="shared" si="10"/>
        <v>2.7</v>
      </c>
      <c r="E50" s="1">
        <f t="shared" si="11"/>
        <v>2.6</v>
      </c>
      <c r="F50" s="1">
        <v>2</v>
      </c>
      <c r="G50" s="1">
        <v>1.5</v>
      </c>
      <c r="H50" s="1">
        <v>1</v>
      </c>
      <c r="I50" s="1">
        <v>1</v>
      </c>
      <c r="J50" s="1">
        <v>1</v>
      </c>
      <c r="K50" s="1">
        <v>1</v>
      </c>
      <c r="L50" s="1">
        <v>1</v>
      </c>
      <c r="M50" s="1">
        <f t="shared" si="12"/>
        <v>1</v>
      </c>
    </row>
    <row r="52" spans="1:18" x14ac:dyDescent="0.25">
      <c r="A52" t="s">
        <v>17</v>
      </c>
      <c r="B52" t="s">
        <v>3</v>
      </c>
      <c r="O52" s="2" t="s">
        <v>107</v>
      </c>
    </row>
    <row r="53" spans="1:18" x14ac:dyDescent="0.25">
      <c r="A53" t="s">
        <v>4</v>
      </c>
      <c r="B53">
        <v>30</v>
      </c>
      <c r="C53">
        <f>B53+5</f>
        <v>35</v>
      </c>
      <c r="D53">
        <f t="shared" ref="D53:M53" si="13">C53+5</f>
        <v>40</v>
      </c>
      <c r="E53">
        <f t="shared" si="13"/>
        <v>45</v>
      </c>
      <c r="F53">
        <f t="shared" si="13"/>
        <v>50</v>
      </c>
      <c r="G53">
        <f t="shared" si="13"/>
        <v>55</v>
      </c>
      <c r="H53">
        <f t="shared" si="13"/>
        <v>60</v>
      </c>
      <c r="I53">
        <f t="shared" si="13"/>
        <v>65</v>
      </c>
      <c r="J53">
        <f t="shared" si="13"/>
        <v>70</v>
      </c>
      <c r="K53">
        <f t="shared" si="13"/>
        <v>75</v>
      </c>
      <c r="L53">
        <f t="shared" si="13"/>
        <v>80</v>
      </c>
      <c r="M53">
        <f t="shared" si="13"/>
        <v>85</v>
      </c>
      <c r="O53" t="s">
        <v>102</v>
      </c>
      <c r="P53" t="s">
        <v>101</v>
      </c>
    </row>
    <row r="54" spans="1:18" x14ac:dyDescent="0.25">
      <c r="A54">
        <v>0</v>
      </c>
      <c r="B54" s="1">
        <f>MIN(IF(B$53&lt;=$A54,0,1),5.8-1.5)</f>
        <v>1</v>
      </c>
      <c r="C54" s="1">
        <f t="shared" ref="C54:G65" si="14">MIN(IF(C$53&lt;=$A54,0,1),5.8-1.5)</f>
        <v>1</v>
      </c>
      <c r="D54" s="1">
        <f t="shared" si="14"/>
        <v>1</v>
      </c>
      <c r="E54" s="1">
        <f t="shared" si="14"/>
        <v>1</v>
      </c>
      <c r="F54" s="1">
        <f t="shared" si="14"/>
        <v>1</v>
      </c>
      <c r="G54" s="1">
        <f t="shared" si="14"/>
        <v>1</v>
      </c>
      <c r="H54" s="1">
        <v>3</v>
      </c>
      <c r="I54" s="1">
        <v>2.3983333333333334</v>
      </c>
      <c r="J54" s="1">
        <f>$O54*J$53+$P54</f>
        <v>2.2804166666666665</v>
      </c>
      <c r="K54" s="1">
        <f t="shared" ref="K54:L62" si="15">$O54*K$53+$P54</f>
        <v>2.1625000000000001</v>
      </c>
      <c r="L54" s="1">
        <f t="shared" si="15"/>
        <v>2.0445833333333336</v>
      </c>
      <c r="M54" s="1">
        <v>1.926666666666667</v>
      </c>
      <c r="O54">
        <f>(M54-I54)/($M$53-$I$53)</f>
        <v>-2.3583333333333324E-2</v>
      </c>
      <c r="P54">
        <f>M54-(M54-I54)/($M$53-$I$53)*$M$53</f>
        <v>3.9312499999999995</v>
      </c>
      <c r="R54" t="s">
        <v>34</v>
      </c>
    </row>
    <row r="55" spans="1:18" x14ac:dyDescent="0.25">
      <c r="A55">
        <f>A54+5</f>
        <v>5</v>
      </c>
      <c r="B55" s="1">
        <f t="shared" ref="B55:B65" si="16">MIN(IF(B$53&lt;=$A55,0,1),5.8-1.5)</f>
        <v>1</v>
      </c>
      <c r="C55" s="1">
        <f t="shared" si="14"/>
        <v>1</v>
      </c>
      <c r="D55" s="1">
        <v>2.1</v>
      </c>
      <c r="E55" s="1">
        <v>2</v>
      </c>
      <c r="F55" s="1">
        <v>1.5</v>
      </c>
      <c r="G55" s="1">
        <v>1.5</v>
      </c>
      <c r="H55" s="1">
        <v>3.5</v>
      </c>
      <c r="I55" s="1">
        <v>2.7100000000000004</v>
      </c>
      <c r="J55" s="1">
        <f t="shared" ref="J55:J62" si="17">$O55*J$53+$P55</f>
        <v>2.5930555555555559</v>
      </c>
      <c r="K55" s="1">
        <f t="shared" si="15"/>
        <v>2.4761111111111114</v>
      </c>
      <c r="L55" s="1">
        <f t="shared" si="15"/>
        <v>2.3591666666666669</v>
      </c>
      <c r="M55" s="1">
        <v>2.2422222222222223</v>
      </c>
      <c r="O55">
        <f t="shared" ref="O55:O62" si="18">(M55-I55)/($M$53-$I$53)</f>
        <v>-2.3388888888888903E-2</v>
      </c>
      <c r="P55">
        <f t="shared" ref="P55:P62" si="19">M55-(M55-I55)/($M$53-$I$53)*$M$53</f>
        <v>4.2302777777777791</v>
      </c>
    </row>
    <row r="56" spans="1:18" x14ac:dyDescent="0.25">
      <c r="A56">
        <f t="shared" ref="A56:A65" si="20">A55+5</f>
        <v>10</v>
      </c>
      <c r="B56" s="1">
        <f t="shared" si="16"/>
        <v>1</v>
      </c>
      <c r="C56" s="1">
        <f t="shared" si="14"/>
        <v>1</v>
      </c>
      <c r="D56" s="1">
        <v>2.1</v>
      </c>
      <c r="E56" s="1">
        <v>2</v>
      </c>
      <c r="F56" s="1">
        <v>1.5</v>
      </c>
      <c r="G56" s="1">
        <v>1.5</v>
      </c>
      <c r="H56" s="1">
        <v>4.2</v>
      </c>
      <c r="I56" s="1">
        <v>3.5316666666666667</v>
      </c>
      <c r="J56" s="1">
        <f t="shared" si="17"/>
        <v>3.3176388888888884</v>
      </c>
      <c r="K56" s="1">
        <f t="shared" si="15"/>
        <v>3.1036111111111104</v>
      </c>
      <c r="L56" s="1">
        <f t="shared" si="15"/>
        <v>2.8895833333333325</v>
      </c>
      <c r="M56" s="1">
        <v>2.6755555555555555</v>
      </c>
      <c r="O56">
        <f t="shared" si="18"/>
        <v>-4.2805555555555562E-2</v>
      </c>
      <c r="P56">
        <f t="shared" si="19"/>
        <v>6.3140277777777776</v>
      </c>
      <c r="R56" t="s">
        <v>35</v>
      </c>
    </row>
    <row r="57" spans="1:18" x14ac:dyDescent="0.25">
      <c r="A57">
        <f t="shared" si="20"/>
        <v>15</v>
      </c>
      <c r="B57" s="1">
        <f t="shared" si="16"/>
        <v>1</v>
      </c>
      <c r="C57" s="1">
        <f t="shared" si="14"/>
        <v>1</v>
      </c>
      <c r="D57" s="1">
        <v>3</v>
      </c>
      <c r="E57" s="1">
        <v>2.5</v>
      </c>
      <c r="F57" s="1">
        <v>2</v>
      </c>
      <c r="G57" s="1">
        <v>1.5</v>
      </c>
      <c r="H57" s="1">
        <v>4.3</v>
      </c>
      <c r="I57" s="1">
        <v>4.0666666666666673</v>
      </c>
      <c r="J57" s="1">
        <f t="shared" si="17"/>
        <v>3.77388888888889</v>
      </c>
      <c r="K57" s="1">
        <f t="shared" si="15"/>
        <v>3.4811111111111117</v>
      </c>
      <c r="L57" s="1">
        <f t="shared" si="15"/>
        <v>3.1883333333333335</v>
      </c>
      <c r="M57" s="1">
        <v>2.8955555555555552</v>
      </c>
      <c r="O57">
        <f t="shared" si="18"/>
        <v>-5.8555555555555604E-2</v>
      </c>
      <c r="P57">
        <f t="shared" si="19"/>
        <v>7.8727777777777819</v>
      </c>
    </row>
    <row r="58" spans="1:18" x14ac:dyDescent="0.25">
      <c r="A58">
        <f t="shared" si="20"/>
        <v>20</v>
      </c>
      <c r="B58" s="1">
        <f t="shared" si="16"/>
        <v>1</v>
      </c>
      <c r="C58" s="1">
        <f t="shared" si="14"/>
        <v>1</v>
      </c>
      <c r="D58" s="1">
        <v>3</v>
      </c>
      <c r="E58" s="1">
        <v>2.5</v>
      </c>
      <c r="F58" s="1">
        <v>2</v>
      </c>
      <c r="G58" s="1">
        <v>1.5</v>
      </c>
      <c r="H58" s="1">
        <v>4.9000000000000004</v>
      </c>
      <c r="I58" s="1">
        <v>4.4066666666666672</v>
      </c>
      <c r="J58" s="1">
        <f t="shared" si="17"/>
        <v>4.0727777777777776</v>
      </c>
      <c r="K58" s="1">
        <f t="shared" si="15"/>
        <v>3.7388888888888889</v>
      </c>
      <c r="L58" s="1">
        <f t="shared" si="15"/>
        <v>3.4049999999999994</v>
      </c>
      <c r="M58" s="1">
        <v>3.0711111111111111</v>
      </c>
      <c r="O58">
        <f t="shared" si="18"/>
        <v>-6.6777777777777797E-2</v>
      </c>
      <c r="P58">
        <f t="shared" si="19"/>
        <v>8.7472222222222236</v>
      </c>
      <c r="R58" t="s">
        <v>36</v>
      </c>
    </row>
    <row r="59" spans="1:18" x14ac:dyDescent="0.25">
      <c r="A59">
        <f t="shared" si="20"/>
        <v>25</v>
      </c>
      <c r="B59" s="1">
        <f t="shared" si="16"/>
        <v>1</v>
      </c>
      <c r="C59" s="1">
        <f t="shared" si="14"/>
        <v>1</v>
      </c>
      <c r="D59" s="1">
        <v>3.3</v>
      </c>
      <c r="E59" s="1">
        <v>2.7</v>
      </c>
      <c r="F59" s="1">
        <v>2.1</v>
      </c>
      <c r="G59" s="1">
        <v>1.5</v>
      </c>
      <c r="H59" s="1">
        <v>4.9000000000000004</v>
      </c>
      <c r="I59" s="1">
        <v>4.7299999999999995</v>
      </c>
      <c r="J59" s="1">
        <f t="shared" si="17"/>
        <v>4.3563888888888886</v>
      </c>
      <c r="K59" s="1">
        <f t="shared" si="15"/>
        <v>3.9827777777777778</v>
      </c>
      <c r="L59" s="1">
        <f t="shared" si="15"/>
        <v>3.6091666666666669</v>
      </c>
      <c r="M59" s="1">
        <v>3.2355555555555555</v>
      </c>
      <c r="O59">
        <f t="shared" si="18"/>
        <v>-7.4722222222222204E-2</v>
      </c>
      <c r="P59">
        <f t="shared" si="19"/>
        <v>9.5869444444444429</v>
      </c>
    </row>
    <row r="60" spans="1:18" x14ac:dyDescent="0.25">
      <c r="A60">
        <f t="shared" si="20"/>
        <v>30</v>
      </c>
      <c r="B60" s="1">
        <f t="shared" si="16"/>
        <v>0</v>
      </c>
      <c r="C60" s="1">
        <f t="shared" si="14"/>
        <v>1</v>
      </c>
      <c r="D60" s="1">
        <v>3.3</v>
      </c>
      <c r="E60" s="1">
        <v>2.7</v>
      </c>
      <c r="F60" s="1">
        <v>2.1</v>
      </c>
      <c r="G60" s="1">
        <v>1.5</v>
      </c>
      <c r="H60" s="1">
        <v>4.7</v>
      </c>
      <c r="I60" s="1">
        <v>4.8650000000000002</v>
      </c>
      <c r="J60" s="1">
        <f t="shared" si="17"/>
        <v>4.4740277777777777</v>
      </c>
      <c r="K60" s="1">
        <f t="shared" si="15"/>
        <v>4.0830555555555552</v>
      </c>
      <c r="L60" s="1">
        <f t="shared" si="15"/>
        <v>3.6920833333333327</v>
      </c>
      <c r="M60" s="1">
        <v>3.3011111111111111</v>
      </c>
      <c r="O60">
        <f t="shared" si="18"/>
        <v>-7.8194444444444455E-2</v>
      </c>
      <c r="P60">
        <f t="shared" si="19"/>
        <v>9.9476388888888891</v>
      </c>
      <c r="R60" t="s">
        <v>37</v>
      </c>
    </row>
    <row r="61" spans="1:18" x14ac:dyDescent="0.25">
      <c r="A61">
        <f t="shared" si="20"/>
        <v>35</v>
      </c>
      <c r="B61" s="1">
        <f t="shared" si="16"/>
        <v>0</v>
      </c>
      <c r="C61" s="1">
        <f t="shared" si="14"/>
        <v>0</v>
      </c>
      <c r="D61" s="1">
        <v>3.3</v>
      </c>
      <c r="E61" s="1">
        <v>2.7</v>
      </c>
      <c r="F61" s="1">
        <v>2.1</v>
      </c>
      <c r="G61" s="1">
        <v>1.5</v>
      </c>
      <c r="H61" s="1">
        <v>4.3</v>
      </c>
      <c r="I61" s="1">
        <v>4.9899999999999993</v>
      </c>
      <c r="J61" s="1">
        <f t="shared" si="17"/>
        <v>4.5844444444444443</v>
      </c>
      <c r="K61" s="1">
        <f t="shared" si="15"/>
        <v>4.1788888888888893</v>
      </c>
      <c r="L61" s="1">
        <f t="shared" si="15"/>
        <v>3.7733333333333334</v>
      </c>
      <c r="M61" s="1">
        <v>3.367777777777778</v>
      </c>
      <c r="O61">
        <f t="shared" si="18"/>
        <v>-8.1111111111111064E-2</v>
      </c>
      <c r="P61">
        <f t="shared" si="19"/>
        <v>10.262222222222219</v>
      </c>
    </row>
    <row r="62" spans="1:18" x14ac:dyDescent="0.25">
      <c r="A62">
        <f t="shared" si="20"/>
        <v>40</v>
      </c>
      <c r="B62" s="1">
        <f t="shared" si="16"/>
        <v>0</v>
      </c>
      <c r="C62" s="1">
        <f t="shared" si="14"/>
        <v>0</v>
      </c>
      <c r="D62" s="1">
        <f t="shared" si="14"/>
        <v>0</v>
      </c>
      <c r="E62" s="1">
        <f t="shared" si="14"/>
        <v>1</v>
      </c>
      <c r="F62" s="1">
        <f t="shared" si="14"/>
        <v>1</v>
      </c>
      <c r="G62" s="1">
        <f t="shared" si="14"/>
        <v>1</v>
      </c>
      <c r="H62" s="1">
        <v>4.0999999999999996</v>
      </c>
      <c r="I62" s="1">
        <v>5.123333333333334</v>
      </c>
      <c r="J62" s="1">
        <f t="shared" si="17"/>
        <v>4.7147222222222229</v>
      </c>
      <c r="K62" s="1">
        <f t="shared" si="15"/>
        <v>4.3061111111111119</v>
      </c>
      <c r="L62" s="1">
        <f t="shared" si="15"/>
        <v>3.8975000000000009</v>
      </c>
      <c r="M62" s="1">
        <v>3.4888888888888889</v>
      </c>
      <c r="O62">
        <f t="shared" si="18"/>
        <v>-8.1722222222222252E-2</v>
      </c>
      <c r="P62">
        <f t="shared" si="19"/>
        <v>10.435277777777781</v>
      </c>
      <c r="R62" t="s">
        <v>38</v>
      </c>
    </row>
    <row r="63" spans="1:18" x14ac:dyDescent="0.25">
      <c r="A63">
        <f t="shared" si="20"/>
        <v>45</v>
      </c>
      <c r="B63" s="1">
        <f t="shared" si="16"/>
        <v>0</v>
      </c>
      <c r="C63" s="1">
        <f t="shared" si="14"/>
        <v>0</v>
      </c>
      <c r="D63" s="1">
        <f t="shared" si="14"/>
        <v>0</v>
      </c>
      <c r="E63" s="1">
        <f t="shared" si="14"/>
        <v>0</v>
      </c>
      <c r="F63" s="1">
        <f t="shared" si="14"/>
        <v>1</v>
      </c>
      <c r="G63" s="1">
        <f t="shared" si="14"/>
        <v>1</v>
      </c>
      <c r="H63" s="1">
        <v>3.7</v>
      </c>
      <c r="I63" s="1">
        <v>4</v>
      </c>
      <c r="J63" s="1">
        <v>4</v>
      </c>
      <c r="K63" s="1">
        <f t="shared" ref="K63" si="21">J63-0.4</f>
        <v>3.6</v>
      </c>
      <c r="L63" s="1">
        <f t="shared" ref="L63" si="22">K63</f>
        <v>3.6</v>
      </c>
      <c r="M63" s="1">
        <f>M62</f>
        <v>3.4888888888888889</v>
      </c>
    </row>
    <row r="64" spans="1:18" x14ac:dyDescent="0.25">
      <c r="A64">
        <f t="shared" si="20"/>
        <v>50</v>
      </c>
      <c r="B64" s="1">
        <f t="shared" si="16"/>
        <v>0</v>
      </c>
      <c r="C64" s="1">
        <f t="shared" si="14"/>
        <v>0</v>
      </c>
      <c r="D64" s="1">
        <f t="shared" si="14"/>
        <v>0</v>
      </c>
      <c r="E64" s="1">
        <f t="shared" si="14"/>
        <v>0</v>
      </c>
      <c r="F64" s="1">
        <f t="shared" si="14"/>
        <v>0</v>
      </c>
      <c r="G64" s="1">
        <f t="shared" si="14"/>
        <v>1</v>
      </c>
      <c r="H64" s="1">
        <v>3.7</v>
      </c>
      <c r="I64" s="1">
        <v>4</v>
      </c>
      <c r="J64" s="1">
        <v>4</v>
      </c>
      <c r="K64" s="1">
        <f t="shared" ref="K64:K65" si="23">J64-0.4</f>
        <v>3.6</v>
      </c>
      <c r="L64" s="1">
        <f t="shared" ref="L64:L65" si="24">K64</f>
        <v>3.6</v>
      </c>
      <c r="M64" s="1">
        <f t="shared" ref="M64:M65" si="25">M63</f>
        <v>3.4888888888888889</v>
      </c>
    </row>
    <row r="65" spans="1:16" x14ac:dyDescent="0.25">
      <c r="A65">
        <f t="shared" si="20"/>
        <v>55</v>
      </c>
      <c r="B65" s="1">
        <f t="shared" si="16"/>
        <v>0</v>
      </c>
      <c r="C65" s="1">
        <f t="shared" si="14"/>
        <v>0</v>
      </c>
      <c r="D65" s="1">
        <f t="shared" si="14"/>
        <v>0</v>
      </c>
      <c r="E65" s="1">
        <f t="shared" si="14"/>
        <v>0</v>
      </c>
      <c r="F65" s="1">
        <f t="shared" si="14"/>
        <v>0</v>
      </c>
      <c r="G65" s="1">
        <f t="shared" si="14"/>
        <v>0</v>
      </c>
      <c r="H65" s="1">
        <v>3.7</v>
      </c>
      <c r="I65" s="1">
        <v>4</v>
      </c>
      <c r="J65" s="1">
        <v>4</v>
      </c>
      <c r="K65" s="1">
        <f t="shared" si="23"/>
        <v>3.6</v>
      </c>
      <c r="L65" s="1">
        <f t="shared" si="24"/>
        <v>3.6</v>
      </c>
      <c r="M65" s="1">
        <f t="shared" si="25"/>
        <v>3.4888888888888889</v>
      </c>
    </row>
    <row r="67" spans="1:16" x14ac:dyDescent="0.25">
      <c r="A67" t="s">
        <v>98</v>
      </c>
      <c r="B67" t="s">
        <v>3</v>
      </c>
      <c r="O67" s="2" t="s">
        <v>107</v>
      </c>
    </row>
    <row r="68" spans="1:16" x14ac:dyDescent="0.25">
      <c r="A68" t="s">
        <v>99</v>
      </c>
      <c r="B68">
        <v>30</v>
      </c>
      <c r="C68">
        <f>B68+5</f>
        <v>35</v>
      </c>
      <c r="D68">
        <f t="shared" ref="D68" si="26">C68+5</f>
        <v>40</v>
      </c>
      <c r="E68">
        <f t="shared" ref="E68" si="27">D68+5</f>
        <v>45</v>
      </c>
      <c r="F68">
        <f t="shared" ref="F68" si="28">E68+5</f>
        <v>50</v>
      </c>
      <c r="G68">
        <f t="shared" ref="G68" si="29">F68+5</f>
        <v>55</v>
      </c>
      <c r="H68">
        <f t="shared" ref="H68" si="30">G68+5</f>
        <v>60</v>
      </c>
      <c r="I68">
        <f t="shared" ref="I68" si="31">H68+5</f>
        <v>65</v>
      </c>
      <c r="J68">
        <f t="shared" ref="J68" si="32">I68+5</f>
        <v>70</v>
      </c>
      <c r="K68">
        <f t="shared" ref="K68" si="33">J68+5</f>
        <v>75</v>
      </c>
      <c r="L68">
        <f t="shared" ref="L68" si="34">K68+5</f>
        <v>80</v>
      </c>
      <c r="M68">
        <f t="shared" ref="M68" si="35">L68+5</f>
        <v>85</v>
      </c>
      <c r="O68" t="s">
        <v>102</v>
      </c>
      <c r="P68" t="s">
        <v>101</v>
      </c>
    </row>
    <row r="69" spans="1:16" x14ac:dyDescent="0.25">
      <c r="A69">
        <v>5</v>
      </c>
      <c r="B69" s="1"/>
      <c r="C69" s="1"/>
      <c r="D69" s="1"/>
      <c r="E69" s="1"/>
      <c r="F69" s="1"/>
      <c r="G69" s="1"/>
      <c r="H69" s="1">
        <f>$O69*H$68+$P69</f>
        <v>0.28378086419753079</v>
      </c>
      <c r="I69" s="1">
        <f>AD116</f>
        <v>0.35648148148148145</v>
      </c>
      <c r="J69" s="1">
        <f>$O69*J$68+$P69</f>
        <v>0.42918209876543201</v>
      </c>
      <c r="K69" s="1">
        <f t="shared" ref="K69:L80" si="36">$O69*K$68+$P69</f>
        <v>0.50188271604938262</v>
      </c>
      <c r="L69" s="1">
        <f t="shared" si="36"/>
        <v>0.57458333333333322</v>
      </c>
      <c r="M69" s="1">
        <f>AD102</f>
        <v>0.64728395061728383</v>
      </c>
      <c r="O69">
        <f>(M69-I69)/($M$68-$I$68)</f>
        <v>1.4540123456790118E-2</v>
      </c>
      <c r="P69">
        <f>M69-(M69-I69)/($M$68-$I$68)*$M$68</f>
        <v>-0.58862654320987629</v>
      </c>
    </row>
    <row r="70" spans="1:16" x14ac:dyDescent="0.25">
      <c r="A70">
        <f t="shared" ref="A70:A81" si="37">A69+5</f>
        <v>10</v>
      </c>
      <c r="B70" s="1"/>
      <c r="C70" s="1"/>
      <c r="D70" s="1"/>
      <c r="E70" s="1"/>
      <c r="F70" s="1"/>
      <c r="G70" s="1"/>
      <c r="H70" s="1">
        <f>$O70*H$68+$P70</f>
        <v>0.12489197530864182</v>
      </c>
      <c r="I70" s="1">
        <f>AF116</f>
        <v>0.20981481481481465</v>
      </c>
      <c r="J70" s="1">
        <f t="shared" ref="J70:J80" si="38">$O70*J$68+$P70</f>
        <v>0.29473765432098775</v>
      </c>
      <c r="K70" s="1">
        <f t="shared" si="36"/>
        <v>0.37966049382716049</v>
      </c>
      <c r="L70" s="1">
        <f t="shared" si="36"/>
        <v>0.46458333333333346</v>
      </c>
      <c r="M70" s="1">
        <f>AF102</f>
        <v>0.5495061728395062</v>
      </c>
      <c r="O70">
        <f t="shared" ref="O70:O80" si="39">(M70-I70)/($M$68-$I$68)</f>
        <v>1.6984567901234576E-2</v>
      </c>
      <c r="P70">
        <f t="shared" ref="P70:P80" si="40">M70-(M70-I70)/($M$68-$I$68)*$M$68</f>
        <v>-0.89418209876543264</v>
      </c>
    </row>
    <row r="71" spans="1:16" x14ac:dyDescent="0.25">
      <c r="A71">
        <f t="shared" si="37"/>
        <v>15</v>
      </c>
      <c r="B71" s="1"/>
      <c r="C71" s="1"/>
      <c r="D71" s="1"/>
      <c r="E71" s="1"/>
      <c r="F71" s="1"/>
      <c r="G71" s="1"/>
      <c r="H71" s="1">
        <f t="shared" ref="H71:H79" si="41">$O71*H$68+$P71</f>
        <v>-1.6774691358025007E-2</v>
      </c>
      <c r="I71" s="1">
        <f>AG116</f>
        <v>3.7592592592592448E-2</v>
      </c>
      <c r="J71" s="1">
        <f t="shared" si="38"/>
        <v>9.1959876543209695E-2</v>
      </c>
      <c r="K71" s="1">
        <f t="shared" si="36"/>
        <v>0.14632716049382699</v>
      </c>
      <c r="L71" s="1">
        <f t="shared" si="36"/>
        <v>0.20069444444444429</v>
      </c>
      <c r="M71" s="1">
        <f>AH102</f>
        <v>0.25506172839506175</v>
      </c>
      <c r="O71">
        <f t="shared" si="39"/>
        <v>1.0873456790123465E-2</v>
      </c>
      <c r="P71">
        <f t="shared" si="40"/>
        <v>-0.66918209876543289</v>
      </c>
    </row>
    <row r="72" spans="1:16" x14ac:dyDescent="0.25">
      <c r="A72">
        <f t="shared" si="37"/>
        <v>20</v>
      </c>
      <c r="B72" s="1"/>
      <c r="C72" s="1"/>
      <c r="D72" s="1"/>
      <c r="E72" s="1"/>
      <c r="F72" s="1"/>
      <c r="G72" s="1"/>
      <c r="H72" s="1">
        <f t="shared" si="41"/>
        <v>-0.2042746913580249</v>
      </c>
      <c r="I72" s="1">
        <f>I71-0.15</f>
        <v>-0.11240740740740754</v>
      </c>
      <c r="J72" s="1">
        <f t="shared" si="38"/>
        <v>-2.0540123456790127E-2</v>
      </c>
      <c r="K72" s="1">
        <f t="shared" si="36"/>
        <v>7.1327160493827035E-2</v>
      </c>
      <c r="L72" s="1">
        <f t="shared" si="36"/>
        <v>0.16319444444444442</v>
      </c>
      <c r="M72" s="1">
        <f>M71</f>
        <v>0.25506172839506175</v>
      </c>
      <c r="O72">
        <f t="shared" si="39"/>
        <v>1.8373456790123466E-2</v>
      </c>
      <c r="P72">
        <f t="shared" si="40"/>
        <v>-1.3066820987654328</v>
      </c>
    </row>
    <row r="73" spans="1:16" x14ac:dyDescent="0.25">
      <c r="A73">
        <f t="shared" si="37"/>
        <v>25</v>
      </c>
      <c r="B73" s="1"/>
      <c r="C73" s="1"/>
      <c r="D73" s="1"/>
      <c r="E73" s="1"/>
      <c r="F73" s="1"/>
      <c r="G73" s="1"/>
      <c r="H73" s="1">
        <f t="shared" si="41"/>
        <v>-0.41677469135802525</v>
      </c>
      <c r="I73" s="1">
        <f>AH116</f>
        <v>-0.28240740740740766</v>
      </c>
      <c r="J73" s="1">
        <f t="shared" si="38"/>
        <v>-0.14804012345679052</v>
      </c>
      <c r="K73" s="1">
        <f t="shared" si="36"/>
        <v>-1.3672839506173151E-2</v>
      </c>
      <c r="L73" s="1">
        <f t="shared" si="36"/>
        <v>0.12069444444444422</v>
      </c>
      <c r="M73" s="1">
        <f>AH102</f>
        <v>0.25506172839506175</v>
      </c>
      <c r="O73">
        <f>(M73-I73)/($M$68-$I$68)</f>
        <v>2.6873456790123474E-2</v>
      </c>
      <c r="P73">
        <f t="shared" si="40"/>
        <v>-2.0291820987654337</v>
      </c>
    </row>
    <row r="74" spans="1:16" x14ac:dyDescent="0.25">
      <c r="A74">
        <f t="shared" si="37"/>
        <v>30</v>
      </c>
      <c r="B74" s="1" t="s">
        <v>103</v>
      </c>
      <c r="C74" s="1"/>
      <c r="D74" s="1"/>
      <c r="E74" s="1"/>
      <c r="F74" s="1"/>
      <c r="G74" s="1"/>
      <c r="H74" s="1">
        <f t="shared" si="41"/>
        <v>-0.75649691358024729</v>
      </c>
      <c r="I74" s="1">
        <f>AI116</f>
        <v>-0.58018518518518536</v>
      </c>
      <c r="J74" s="1">
        <f t="shared" si="38"/>
        <v>-0.40387345679012387</v>
      </c>
      <c r="K74" s="1">
        <f t="shared" si="36"/>
        <v>-0.22756172839506217</v>
      </c>
      <c r="L74" s="1">
        <f t="shared" si="36"/>
        <v>-5.1250000000000018E-2</v>
      </c>
      <c r="M74" s="1">
        <f>AI102</f>
        <v>0.12506172839506177</v>
      </c>
      <c r="O74">
        <f t="shared" si="39"/>
        <v>3.5262345679012361E-2</v>
      </c>
      <c r="P74">
        <f t="shared" si="40"/>
        <v>-2.8722376543209891</v>
      </c>
    </row>
    <row r="75" spans="1:16" x14ac:dyDescent="0.25">
      <c r="A75">
        <f t="shared" si="37"/>
        <v>35</v>
      </c>
      <c r="B75" s="1" t="s">
        <v>103</v>
      </c>
      <c r="C75" s="1" t="s">
        <v>103</v>
      </c>
      <c r="D75" s="1"/>
      <c r="E75" s="1"/>
      <c r="F75" s="1"/>
      <c r="G75" s="1"/>
      <c r="H75" s="1">
        <f t="shared" si="41"/>
        <v>-0.9064969135802472</v>
      </c>
      <c r="I75" s="1">
        <f t="shared" ref="I75:I79" si="42">I74-0.15</f>
        <v>-0.73018518518518538</v>
      </c>
      <c r="J75" s="1">
        <f t="shared" si="38"/>
        <v>-0.55387345679012379</v>
      </c>
      <c r="K75" s="1">
        <f t="shared" si="36"/>
        <v>-0.37756172839506208</v>
      </c>
      <c r="L75" s="1">
        <f t="shared" si="36"/>
        <v>-0.20124999999999993</v>
      </c>
      <c r="M75" s="1">
        <f t="shared" ref="M75" si="43">M74-0.15</f>
        <v>-2.4938271604938222E-2</v>
      </c>
      <c r="O75">
        <f t="shared" si="39"/>
        <v>3.5262345679012361E-2</v>
      </c>
      <c r="P75">
        <f t="shared" si="40"/>
        <v>-3.022237654320989</v>
      </c>
    </row>
    <row r="76" spans="1:16" x14ac:dyDescent="0.25">
      <c r="A76">
        <f t="shared" si="37"/>
        <v>40</v>
      </c>
      <c r="B76" s="1" t="s">
        <v>103</v>
      </c>
      <c r="C76" s="1" t="s">
        <v>103</v>
      </c>
      <c r="D76" s="1" t="s">
        <v>103</v>
      </c>
      <c r="E76" s="1"/>
      <c r="F76" s="1"/>
      <c r="G76" s="1"/>
      <c r="H76" s="1">
        <f t="shared" si="41"/>
        <v>-1.0406635802469135</v>
      </c>
      <c r="I76" s="1">
        <f t="shared" si="42"/>
        <v>-0.8801851851851854</v>
      </c>
      <c r="J76" s="1">
        <f t="shared" si="38"/>
        <v>-0.71970679012345684</v>
      </c>
      <c r="K76" s="1">
        <f t="shared" si="36"/>
        <v>-0.55922839506172828</v>
      </c>
      <c r="L76" s="1">
        <f t="shared" si="36"/>
        <v>-0.39874999999999972</v>
      </c>
      <c r="M76" s="1">
        <f>AJ102</f>
        <v>-0.23827160493827165</v>
      </c>
      <c r="O76">
        <f t="shared" si="39"/>
        <v>3.2095679012345689E-2</v>
      </c>
      <c r="P76">
        <f t="shared" si="40"/>
        <v>-2.9664043209876549</v>
      </c>
    </row>
    <row r="77" spans="1:16" x14ac:dyDescent="0.25">
      <c r="A77">
        <f t="shared" si="37"/>
        <v>45</v>
      </c>
      <c r="B77" s="1" t="s">
        <v>103</v>
      </c>
      <c r="C77" s="1" t="s">
        <v>103</v>
      </c>
      <c r="D77" s="1" t="s">
        <v>103</v>
      </c>
      <c r="E77" s="1" t="s">
        <v>103</v>
      </c>
      <c r="F77" s="1"/>
      <c r="G77" s="1"/>
      <c r="H77" s="1">
        <f t="shared" si="41"/>
        <v>-1.1781635802469137</v>
      </c>
      <c r="I77" s="1">
        <f t="shared" si="42"/>
        <v>-1.0301851851851853</v>
      </c>
      <c r="J77" s="1">
        <f t="shared" si="38"/>
        <v>-0.88220679012345693</v>
      </c>
      <c r="K77" s="1">
        <f t="shared" si="36"/>
        <v>-0.73422839506172854</v>
      </c>
      <c r="L77" s="1">
        <f t="shared" si="36"/>
        <v>-0.58625000000000016</v>
      </c>
      <c r="M77" s="1">
        <f>M76-0.2</f>
        <v>-0.43827160493827166</v>
      </c>
      <c r="O77">
        <f t="shared" si="39"/>
        <v>2.9595679012345683E-2</v>
      </c>
      <c r="P77">
        <f t="shared" si="40"/>
        <v>-2.9539043209876548</v>
      </c>
    </row>
    <row r="78" spans="1:16" x14ac:dyDescent="0.25">
      <c r="A78">
        <f t="shared" si="37"/>
        <v>50</v>
      </c>
      <c r="B78" s="1" t="s">
        <v>103</v>
      </c>
      <c r="C78" s="1" t="s">
        <v>103</v>
      </c>
      <c r="D78" s="1" t="s">
        <v>103</v>
      </c>
      <c r="E78" s="1" t="s">
        <v>103</v>
      </c>
      <c r="F78" s="1" t="s">
        <v>103</v>
      </c>
      <c r="G78" s="1"/>
      <c r="H78" s="1">
        <f t="shared" si="41"/>
        <v>-1.3156635802469132</v>
      </c>
      <c r="I78" s="1">
        <f t="shared" si="42"/>
        <v>-1.1801851851851852</v>
      </c>
      <c r="J78" s="1">
        <f t="shared" si="38"/>
        <v>-1.0447067901234566</v>
      </c>
      <c r="K78" s="1">
        <f t="shared" si="36"/>
        <v>-0.90922839506172792</v>
      </c>
      <c r="L78" s="1">
        <f t="shared" si="36"/>
        <v>-0.77374999999999972</v>
      </c>
      <c r="M78" s="1">
        <f t="shared" ref="M78:M79" si="44">M77-0.2</f>
        <v>-0.63827160493827173</v>
      </c>
      <c r="O78">
        <f t="shared" si="39"/>
        <v>2.7095679012345674E-2</v>
      </c>
      <c r="P78">
        <f t="shared" si="40"/>
        <v>-2.9414043209876537</v>
      </c>
    </row>
    <row r="79" spans="1:16" x14ac:dyDescent="0.25">
      <c r="A79">
        <f t="shared" si="37"/>
        <v>55</v>
      </c>
      <c r="B79" s="1" t="s">
        <v>103</v>
      </c>
      <c r="C79" s="1" t="s">
        <v>103</v>
      </c>
      <c r="D79" s="1" t="s">
        <v>103</v>
      </c>
      <c r="E79" s="1" t="s">
        <v>103</v>
      </c>
      <c r="F79" s="1" t="s">
        <v>103</v>
      </c>
      <c r="G79" s="1" t="s">
        <v>103</v>
      </c>
      <c r="H79" s="1">
        <f t="shared" si="41"/>
        <v>-1.4531635802469136</v>
      </c>
      <c r="I79" s="1">
        <f t="shared" si="42"/>
        <v>-1.3301851851851851</v>
      </c>
      <c r="J79" s="1">
        <f t="shared" si="38"/>
        <v>-1.2072067901234569</v>
      </c>
      <c r="K79" s="1">
        <f t="shared" si="36"/>
        <v>-1.0842283950617286</v>
      </c>
      <c r="L79" s="1">
        <f t="shared" si="36"/>
        <v>-0.96125000000000016</v>
      </c>
      <c r="M79" s="1">
        <f t="shared" si="44"/>
        <v>-0.83827160493827169</v>
      </c>
      <c r="O79">
        <f t="shared" si="39"/>
        <v>2.4595679012345672E-2</v>
      </c>
      <c r="P79">
        <f t="shared" si="40"/>
        <v>-2.928904320987654</v>
      </c>
    </row>
    <row r="80" spans="1:16" x14ac:dyDescent="0.25">
      <c r="A80">
        <f t="shared" si="37"/>
        <v>60</v>
      </c>
      <c r="B80" s="1" t="s">
        <v>103</v>
      </c>
      <c r="C80" s="1" t="s">
        <v>103</v>
      </c>
      <c r="D80" s="1" t="s">
        <v>103</v>
      </c>
      <c r="E80" s="1" t="s">
        <v>103</v>
      </c>
      <c r="F80" s="1" t="s">
        <v>103</v>
      </c>
      <c r="G80" s="1" t="s">
        <v>103</v>
      </c>
      <c r="H80" s="1" t="s">
        <v>103</v>
      </c>
      <c r="I80" s="1">
        <f>I79-0.15</f>
        <v>-1.480185185185185</v>
      </c>
      <c r="J80" s="1">
        <f t="shared" si="38"/>
        <v>-1.3733179012345675</v>
      </c>
      <c r="K80" s="1">
        <f t="shared" si="36"/>
        <v>-1.2664506172839503</v>
      </c>
      <c r="L80" s="1">
        <f t="shared" si="36"/>
        <v>-1.159583333333333</v>
      </c>
      <c r="M80" s="1">
        <f>AK102</f>
        <v>-1.0527160493827161</v>
      </c>
      <c r="O80">
        <f t="shared" si="39"/>
        <v>2.1373456790123445E-2</v>
      </c>
      <c r="P80">
        <f t="shared" si="40"/>
        <v>-2.8694598765432087</v>
      </c>
    </row>
    <row r="81" spans="1:38" x14ac:dyDescent="0.25">
      <c r="A81">
        <f t="shared" si="37"/>
        <v>65</v>
      </c>
      <c r="B81" s="1" t="s">
        <v>103</v>
      </c>
      <c r="C81" s="1" t="s">
        <v>103</v>
      </c>
      <c r="D81" s="1" t="s">
        <v>103</v>
      </c>
      <c r="E81" s="1" t="s">
        <v>103</v>
      </c>
      <c r="F81" s="1" t="s">
        <v>103</v>
      </c>
      <c r="G81" s="1" t="s">
        <v>103</v>
      </c>
      <c r="H81" s="1" t="s">
        <v>103</v>
      </c>
      <c r="I81" s="1" t="s">
        <v>103</v>
      </c>
      <c r="J81" s="1">
        <f>J80-0.15</f>
        <v>-1.5233179012345675</v>
      </c>
      <c r="K81" s="1">
        <f>K80-0.15</f>
        <v>-1.4164506172839502</v>
      </c>
      <c r="L81" s="1">
        <f>L80-0.15</f>
        <v>-1.3095833333333329</v>
      </c>
      <c r="M81" s="1">
        <f>AL102</f>
        <v>-1.2882716049382714</v>
      </c>
    </row>
    <row r="90" spans="1:38" x14ac:dyDescent="0.25">
      <c r="P90" t="s">
        <v>109</v>
      </c>
      <c r="AD90" t="s">
        <v>111</v>
      </c>
    </row>
    <row r="91" spans="1:38" x14ac:dyDescent="0.25">
      <c r="P91" t="s">
        <v>110</v>
      </c>
      <c r="Q91">
        <v>5</v>
      </c>
      <c r="R91">
        <v>9</v>
      </c>
      <c r="S91">
        <v>10</v>
      </c>
      <c r="T91">
        <v>17</v>
      </c>
      <c r="U91">
        <v>24</v>
      </c>
      <c r="V91">
        <v>29</v>
      </c>
      <c r="W91">
        <v>40</v>
      </c>
      <c r="X91">
        <v>60</v>
      </c>
      <c r="Y91">
        <v>65</v>
      </c>
      <c r="AA91" s="2" t="s">
        <v>100</v>
      </c>
      <c r="AD91">
        <v>5</v>
      </c>
      <c r="AE91">
        <v>9</v>
      </c>
      <c r="AF91">
        <v>10</v>
      </c>
      <c r="AG91">
        <v>17</v>
      </c>
      <c r="AH91">
        <v>24</v>
      </c>
      <c r="AI91">
        <v>29</v>
      </c>
      <c r="AJ91">
        <v>40</v>
      </c>
      <c r="AK91">
        <v>60</v>
      </c>
      <c r="AL91">
        <v>65</v>
      </c>
    </row>
    <row r="92" spans="1:38" x14ac:dyDescent="0.25">
      <c r="P92">
        <v>0</v>
      </c>
      <c r="Q92">
        <v>2.3199999999999998</v>
      </c>
      <c r="R92">
        <v>2.2599999999999998</v>
      </c>
      <c r="S92">
        <v>2.23</v>
      </c>
      <c r="T92">
        <v>2.1800000000000002</v>
      </c>
      <c r="U92">
        <v>2.1</v>
      </c>
      <c r="V92">
        <v>2.0499999999999998</v>
      </c>
      <c r="W92">
        <v>1.85</v>
      </c>
      <c r="X92">
        <v>1.27</v>
      </c>
      <c r="Y92">
        <v>1.08</v>
      </c>
      <c r="AA92" s="9">
        <f t="shared" ref="AA92:AA100" si="45">AVERAGE(Q92:Y92)</f>
        <v>1.926666666666667</v>
      </c>
      <c r="AD92" s="8">
        <f t="shared" ref="AD92:AD100" si="46">Q92-$AA92</f>
        <v>0.39333333333333287</v>
      </c>
      <c r="AE92" s="8">
        <f t="shared" ref="AE92:AE100" si="47">R92-$AA92</f>
        <v>0.33333333333333282</v>
      </c>
      <c r="AF92" s="8">
        <f t="shared" ref="AF92:AF100" si="48">S92-$AA92</f>
        <v>0.30333333333333301</v>
      </c>
      <c r="AG92" s="8">
        <f t="shared" ref="AG92:AG100" si="49">T92-$AA92</f>
        <v>0.25333333333333319</v>
      </c>
      <c r="AH92" s="8">
        <f t="shared" ref="AH92:AH100" si="50">U92-$AA92</f>
        <v>0.17333333333333312</v>
      </c>
      <c r="AI92" s="8">
        <f t="shared" ref="AI92:AI100" si="51">V92-$AA92</f>
        <v>0.12333333333333285</v>
      </c>
      <c r="AJ92" s="8">
        <f t="shared" ref="AJ92:AJ100" si="52">W92-$AA92</f>
        <v>-7.6666666666666883E-2</v>
      </c>
      <c r="AK92" s="8">
        <f t="shared" ref="AK92:AK100" si="53">X92-$AA92</f>
        <v>-0.65666666666666695</v>
      </c>
      <c r="AL92" s="8">
        <f t="shared" ref="AL92:AL100" si="54">Y92-$AA92</f>
        <v>-0.8466666666666669</v>
      </c>
    </row>
    <row r="93" spans="1:38" x14ac:dyDescent="0.25">
      <c r="P93">
        <v>5</v>
      </c>
      <c r="Q93">
        <v>2.71</v>
      </c>
      <c r="R93">
        <v>2.67</v>
      </c>
      <c r="S93">
        <v>2.65</v>
      </c>
      <c r="T93">
        <v>2.56</v>
      </c>
      <c r="U93">
        <v>2.44</v>
      </c>
      <c r="V93">
        <v>2.3199999999999998</v>
      </c>
      <c r="W93">
        <v>2.12</v>
      </c>
      <c r="X93">
        <v>1.45</v>
      </c>
      <c r="Y93">
        <v>1.26</v>
      </c>
      <c r="AA93" s="9">
        <f t="shared" si="45"/>
        <v>2.2422222222222223</v>
      </c>
      <c r="AD93" s="8">
        <f t="shared" si="46"/>
        <v>0.46777777777777763</v>
      </c>
      <c r="AE93" s="8">
        <f t="shared" si="47"/>
        <v>0.42777777777777759</v>
      </c>
      <c r="AF93" s="8">
        <f t="shared" si="48"/>
        <v>0.40777777777777757</v>
      </c>
      <c r="AG93" s="8">
        <f t="shared" si="49"/>
        <v>0.31777777777777771</v>
      </c>
      <c r="AH93" s="8">
        <f t="shared" si="50"/>
        <v>0.19777777777777761</v>
      </c>
      <c r="AI93" s="8">
        <f t="shared" si="51"/>
        <v>7.7777777777777501E-2</v>
      </c>
      <c r="AJ93" s="8">
        <f t="shared" si="52"/>
        <v>-0.12222222222222223</v>
      </c>
      <c r="AK93" s="8">
        <f t="shared" si="53"/>
        <v>-0.79222222222222238</v>
      </c>
      <c r="AL93" s="8">
        <f t="shared" si="54"/>
        <v>-0.98222222222222233</v>
      </c>
    </row>
    <row r="94" spans="1:38" x14ac:dyDescent="0.25">
      <c r="P94">
        <v>10</v>
      </c>
      <c r="Q94">
        <v>3.32</v>
      </c>
      <c r="R94">
        <v>3.24</v>
      </c>
      <c r="S94">
        <v>3.22</v>
      </c>
      <c r="T94">
        <v>3.04</v>
      </c>
      <c r="U94">
        <v>2.85</v>
      </c>
      <c r="V94">
        <v>2.71</v>
      </c>
      <c r="W94">
        <v>2.39</v>
      </c>
      <c r="X94">
        <v>1.74</v>
      </c>
      <c r="Y94">
        <v>1.57</v>
      </c>
      <c r="AA94" s="9">
        <f t="shared" si="45"/>
        <v>2.6755555555555555</v>
      </c>
      <c r="AD94" s="8">
        <f t="shared" si="46"/>
        <v>0.64444444444444438</v>
      </c>
      <c r="AE94" s="8">
        <f t="shared" si="47"/>
        <v>0.56444444444444475</v>
      </c>
      <c r="AF94" s="8">
        <f t="shared" si="48"/>
        <v>0.54444444444444473</v>
      </c>
      <c r="AG94" s="8">
        <f t="shared" si="49"/>
        <v>0.36444444444444457</v>
      </c>
      <c r="AH94" s="8">
        <f t="shared" si="50"/>
        <v>0.17444444444444462</v>
      </c>
      <c r="AI94" s="8">
        <f t="shared" si="51"/>
        <v>3.44444444444445E-2</v>
      </c>
      <c r="AJ94" s="8">
        <f t="shared" si="52"/>
        <v>-0.28555555555555534</v>
      </c>
      <c r="AK94" s="8">
        <f t="shared" si="53"/>
        <v>-0.93555555555555547</v>
      </c>
      <c r="AL94" s="8">
        <f t="shared" si="54"/>
        <v>-1.1055555555555554</v>
      </c>
    </row>
    <row r="95" spans="1:38" x14ac:dyDescent="0.25">
      <c r="P95">
        <v>15</v>
      </c>
      <c r="Q95">
        <v>3.59</v>
      </c>
      <c r="R95">
        <v>3.51</v>
      </c>
      <c r="S95">
        <v>3.47</v>
      </c>
      <c r="T95">
        <v>3.35</v>
      </c>
      <c r="U95">
        <v>3.14</v>
      </c>
      <c r="V95">
        <v>2.99</v>
      </c>
      <c r="W95">
        <v>2.62</v>
      </c>
      <c r="X95">
        <v>1.78</v>
      </c>
      <c r="Y95">
        <v>1.61</v>
      </c>
      <c r="AA95" s="9">
        <f t="shared" si="45"/>
        <v>2.8955555555555552</v>
      </c>
      <c r="AD95" s="8">
        <f t="shared" si="46"/>
        <v>0.69444444444444464</v>
      </c>
      <c r="AE95" s="8">
        <f t="shared" si="47"/>
        <v>0.61444444444444457</v>
      </c>
      <c r="AF95" s="8">
        <f t="shared" si="48"/>
        <v>0.57444444444444498</v>
      </c>
      <c r="AG95" s="8">
        <f t="shared" si="49"/>
        <v>0.45444444444444487</v>
      </c>
      <c r="AH95" s="8">
        <f t="shared" si="50"/>
        <v>0.24444444444444491</v>
      </c>
      <c r="AI95" s="8">
        <f t="shared" si="51"/>
        <v>9.4444444444444997E-2</v>
      </c>
      <c r="AJ95" s="8">
        <f t="shared" si="52"/>
        <v>-0.27555555555555511</v>
      </c>
      <c r="AK95" s="8">
        <f t="shared" si="53"/>
        <v>-1.1155555555555552</v>
      </c>
      <c r="AL95" s="8">
        <f t="shared" si="54"/>
        <v>-1.2855555555555551</v>
      </c>
    </row>
    <row r="96" spans="1:38" x14ac:dyDescent="0.25">
      <c r="P96">
        <v>20</v>
      </c>
      <c r="Q96">
        <v>3.82</v>
      </c>
      <c r="R96">
        <v>3.73</v>
      </c>
      <c r="S96">
        <v>3.68</v>
      </c>
      <c r="T96">
        <v>3.54</v>
      </c>
      <c r="U96">
        <v>3.32</v>
      </c>
      <c r="V96">
        <v>3.18</v>
      </c>
      <c r="W96">
        <v>2.75</v>
      </c>
      <c r="X96">
        <v>1.91</v>
      </c>
      <c r="Y96">
        <v>1.71</v>
      </c>
      <c r="AA96" s="9">
        <f t="shared" si="45"/>
        <v>3.0711111111111111</v>
      </c>
      <c r="AD96" s="8">
        <f t="shared" si="46"/>
        <v>0.74888888888888872</v>
      </c>
      <c r="AE96" s="8">
        <f t="shared" si="47"/>
        <v>0.65888888888888886</v>
      </c>
      <c r="AF96" s="8">
        <f t="shared" si="48"/>
        <v>0.60888888888888903</v>
      </c>
      <c r="AG96" s="8">
        <f t="shared" si="49"/>
        <v>0.46888888888888891</v>
      </c>
      <c r="AH96" s="8">
        <f t="shared" si="50"/>
        <v>0.24888888888888872</v>
      </c>
      <c r="AI96" s="8">
        <f t="shared" si="51"/>
        <v>0.10888888888888903</v>
      </c>
      <c r="AJ96" s="8">
        <f t="shared" si="52"/>
        <v>-0.32111111111111112</v>
      </c>
      <c r="AK96" s="8">
        <f t="shared" si="53"/>
        <v>-1.1611111111111112</v>
      </c>
      <c r="AL96" s="8">
        <f t="shared" si="54"/>
        <v>-1.3611111111111112</v>
      </c>
    </row>
    <row r="97" spans="16:38" x14ac:dyDescent="0.25">
      <c r="P97">
        <v>25</v>
      </c>
      <c r="Q97">
        <v>4.03</v>
      </c>
      <c r="R97">
        <v>3.93</v>
      </c>
      <c r="S97">
        <v>3.89</v>
      </c>
      <c r="T97">
        <v>3.72</v>
      </c>
      <c r="U97">
        <v>3.53</v>
      </c>
      <c r="V97">
        <v>3.39</v>
      </c>
      <c r="W97">
        <v>2.88</v>
      </c>
      <c r="X97">
        <v>2.02</v>
      </c>
      <c r="Y97">
        <v>1.73</v>
      </c>
      <c r="AA97" s="9">
        <f t="shared" si="45"/>
        <v>3.2355555555555555</v>
      </c>
      <c r="AD97" s="8">
        <f t="shared" si="46"/>
        <v>0.79444444444444473</v>
      </c>
      <c r="AE97" s="8">
        <f t="shared" si="47"/>
        <v>0.69444444444444464</v>
      </c>
      <c r="AF97" s="8">
        <f t="shared" si="48"/>
        <v>0.65444444444444461</v>
      </c>
      <c r="AG97" s="8">
        <f t="shared" si="49"/>
        <v>0.48444444444444468</v>
      </c>
      <c r="AH97" s="8">
        <f t="shared" si="50"/>
        <v>0.29444444444444429</v>
      </c>
      <c r="AI97" s="8">
        <f t="shared" si="51"/>
        <v>0.15444444444444461</v>
      </c>
      <c r="AJ97" s="8">
        <f t="shared" si="52"/>
        <v>-0.35555555555555562</v>
      </c>
      <c r="AK97" s="8">
        <f t="shared" si="53"/>
        <v>-1.2155555555555555</v>
      </c>
      <c r="AL97" s="8">
        <f t="shared" si="54"/>
        <v>-1.5055555555555555</v>
      </c>
    </row>
    <row r="98" spans="16:38" x14ac:dyDescent="0.25">
      <c r="P98">
        <v>30</v>
      </c>
      <c r="Q98">
        <v>4.0199999999999996</v>
      </c>
      <c r="R98">
        <v>3.96</v>
      </c>
      <c r="S98">
        <v>3.93</v>
      </c>
      <c r="T98">
        <v>3.79</v>
      </c>
      <c r="U98">
        <v>3.61</v>
      </c>
      <c r="V98">
        <v>3.47</v>
      </c>
      <c r="W98">
        <v>3.03</v>
      </c>
      <c r="X98">
        <v>2.1</v>
      </c>
      <c r="Y98">
        <v>1.8</v>
      </c>
      <c r="AA98" s="9">
        <f t="shared" si="45"/>
        <v>3.3011111111111111</v>
      </c>
      <c r="AD98" s="8">
        <f t="shared" si="46"/>
        <v>0.71888888888888847</v>
      </c>
      <c r="AE98" s="8">
        <f t="shared" si="47"/>
        <v>0.65888888888888886</v>
      </c>
      <c r="AF98" s="8">
        <f t="shared" si="48"/>
        <v>0.62888888888888905</v>
      </c>
      <c r="AG98" s="8">
        <f t="shared" si="49"/>
        <v>0.48888888888888893</v>
      </c>
      <c r="AH98" s="8">
        <f t="shared" si="50"/>
        <v>0.30888888888888877</v>
      </c>
      <c r="AI98" s="8">
        <f t="shared" si="51"/>
        <v>0.16888888888888909</v>
      </c>
      <c r="AJ98" s="8">
        <f t="shared" si="52"/>
        <v>-0.2711111111111113</v>
      </c>
      <c r="AK98" s="8">
        <f t="shared" si="53"/>
        <v>-1.201111111111111</v>
      </c>
      <c r="AL98" s="8">
        <f t="shared" si="54"/>
        <v>-1.5011111111111111</v>
      </c>
    </row>
    <row r="99" spans="16:38" x14ac:dyDescent="0.25">
      <c r="P99">
        <v>35</v>
      </c>
      <c r="Q99">
        <v>4.0199999999999996</v>
      </c>
      <c r="R99">
        <v>3.98</v>
      </c>
      <c r="S99">
        <v>3.96</v>
      </c>
      <c r="T99">
        <v>3.85</v>
      </c>
      <c r="U99">
        <v>3.7</v>
      </c>
      <c r="V99">
        <v>3.56</v>
      </c>
      <c r="W99">
        <v>3.17</v>
      </c>
      <c r="X99">
        <v>2.19</v>
      </c>
      <c r="Y99">
        <v>1.88</v>
      </c>
      <c r="AA99" s="9">
        <f t="shared" si="45"/>
        <v>3.367777777777778</v>
      </c>
      <c r="AD99" s="8">
        <f t="shared" si="46"/>
        <v>0.65222222222222159</v>
      </c>
      <c r="AE99" s="8">
        <f t="shared" si="47"/>
        <v>0.612222222222222</v>
      </c>
      <c r="AF99" s="8">
        <f t="shared" si="48"/>
        <v>0.59222222222222198</v>
      </c>
      <c r="AG99" s="8">
        <f t="shared" si="49"/>
        <v>0.48222222222222211</v>
      </c>
      <c r="AH99" s="8">
        <f t="shared" si="50"/>
        <v>0.3322222222222222</v>
      </c>
      <c r="AI99" s="8">
        <f t="shared" si="51"/>
        <v>0.19222222222222207</v>
      </c>
      <c r="AJ99" s="8">
        <f t="shared" si="52"/>
        <v>-0.19777777777777805</v>
      </c>
      <c r="AK99" s="8">
        <f t="shared" si="53"/>
        <v>-1.177777777777778</v>
      </c>
      <c r="AL99" s="8">
        <f t="shared" si="54"/>
        <v>-1.4877777777777781</v>
      </c>
    </row>
    <row r="100" spans="16:38" x14ac:dyDescent="0.25">
      <c r="P100">
        <v>40</v>
      </c>
      <c r="Q100">
        <v>4.2</v>
      </c>
      <c r="R100">
        <v>4.1399999999999997</v>
      </c>
      <c r="S100">
        <v>4.12</v>
      </c>
      <c r="T100">
        <v>3.98</v>
      </c>
      <c r="U100">
        <v>3.81</v>
      </c>
      <c r="V100">
        <v>3.66</v>
      </c>
      <c r="W100">
        <v>3.25</v>
      </c>
      <c r="X100">
        <v>2.27</v>
      </c>
      <c r="Y100">
        <v>1.97</v>
      </c>
      <c r="AA100" s="9">
        <f t="shared" si="45"/>
        <v>3.4888888888888889</v>
      </c>
      <c r="AD100" s="8">
        <f t="shared" si="46"/>
        <v>0.71111111111111125</v>
      </c>
      <c r="AE100" s="8">
        <f t="shared" si="47"/>
        <v>0.65111111111111075</v>
      </c>
      <c r="AF100" s="8">
        <f t="shared" si="48"/>
        <v>0.63111111111111118</v>
      </c>
      <c r="AG100" s="8">
        <f t="shared" si="49"/>
        <v>0.49111111111111105</v>
      </c>
      <c r="AH100" s="8">
        <f t="shared" si="50"/>
        <v>0.32111111111111112</v>
      </c>
      <c r="AI100" s="8">
        <f t="shared" si="51"/>
        <v>0.17111111111111121</v>
      </c>
      <c r="AJ100" s="8">
        <f t="shared" si="52"/>
        <v>-0.23888888888888893</v>
      </c>
      <c r="AK100" s="8">
        <f t="shared" si="53"/>
        <v>-1.2188888888888889</v>
      </c>
      <c r="AL100" s="8">
        <f t="shared" si="54"/>
        <v>-1.518888888888889</v>
      </c>
    </row>
    <row r="102" spans="16:38" x14ac:dyDescent="0.25">
      <c r="AD102" s="8">
        <f>AVERAGE(AD92:AD100)</f>
        <v>0.64728395061728383</v>
      </c>
      <c r="AF102" s="8">
        <f>AVERAGE(AF92:AF100)</f>
        <v>0.5495061728395062</v>
      </c>
      <c r="AG102" s="8">
        <f>AVERAGE(AG92:AG100)</f>
        <v>0.42283950617283955</v>
      </c>
      <c r="AH102" s="8">
        <f>AVERAGE(AH92:AH100)</f>
        <v>0.25506172839506175</v>
      </c>
      <c r="AI102" s="8">
        <f>AVERAGE(AI92:AI100)</f>
        <v>0.12506172839506177</v>
      </c>
      <c r="AJ102" s="8">
        <f t="shared" ref="AJ102:AL102" si="55">AVERAGE(AJ92:AJ100)</f>
        <v>-0.23827160493827165</v>
      </c>
      <c r="AK102" s="8">
        <f t="shared" si="55"/>
        <v>-1.0527160493827161</v>
      </c>
      <c r="AL102" s="8">
        <f t="shared" si="55"/>
        <v>-1.2882716049382714</v>
      </c>
    </row>
    <row r="104" spans="16:38" x14ac:dyDescent="0.25">
      <c r="P104" t="s">
        <v>108</v>
      </c>
      <c r="AD104" t="s">
        <v>111</v>
      </c>
    </row>
    <row r="105" spans="16:38" x14ac:dyDescent="0.25">
      <c r="P105" t="s">
        <v>110</v>
      </c>
      <c r="Q105">
        <v>5</v>
      </c>
      <c r="R105">
        <v>9</v>
      </c>
      <c r="S105">
        <v>10</v>
      </c>
      <c r="T105">
        <v>17</v>
      </c>
      <c r="U105">
        <v>24</v>
      </c>
      <c r="V105">
        <v>29</v>
      </c>
      <c r="AA105" s="2" t="s">
        <v>100</v>
      </c>
      <c r="AD105">
        <v>5</v>
      </c>
      <c r="AE105">
        <v>9</v>
      </c>
      <c r="AF105">
        <v>10</v>
      </c>
      <c r="AG105">
        <v>17</v>
      </c>
      <c r="AH105">
        <v>24</v>
      </c>
      <c r="AI105">
        <v>29</v>
      </c>
    </row>
    <row r="106" spans="16:38" x14ac:dyDescent="0.25">
      <c r="P106">
        <v>0</v>
      </c>
      <c r="Q106">
        <v>2.59</v>
      </c>
      <c r="R106">
        <v>2.48</v>
      </c>
      <c r="S106">
        <v>2.42</v>
      </c>
      <c r="T106">
        <v>2.38</v>
      </c>
      <c r="U106">
        <v>2.29</v>
      </c>
      <c r="V106">
        <v>2.23</v>
      </c>
      <c r="AA106" s="9">
        <f t="shared" ref="AA106:AA114" si="56">AVERAGE(Q106:Y106)</f>
        <v>2.3983333333333334</v>
      </c>
      <c r="AD106" s="8">
        <f t="shared" ref="AD106:AD114" si="57">Q106-$AA106</f>
        <v>0.19166666666666643</v>
      </c>
      <c r="AE106" s="8">
        <f t="shared" ref="AE106:AE114" si="58">R106-$AA106</f>
        <v>8.1666666666666554E-2</v>
      </c>
      <c r="AF106" s="8">
        <f t="shared" ref="AF106:AF114" si="59">S106-$AA106</f>
        <v>2.1666666666666501E-2</v>
      </c>
      <c r="AG106" s="8">
        <f t="shared" ref="AG106:AG114" si="60">T106-$AA106</f>
        <v>-1.8333333333333535E-2</v>
      </c>
      <c r="AH106" s="8">
        <f t="shared" ref="AH106:AH114" si="61">U106-$AA106</f>
        <v>-0.10833333333333339</v>
      </c>
      <c r="AI106" s="8">
        <f t="shared" ref="AI106:AI114" si="62">V106-$AA106</f>
        <v>-0.16833333333333345</v>
      </c>
      <c r="AJ106" s="8"/>
      <c r="AK106" s="8"/>
      <c r="AL106" s="8"/>
    </row>
    <row r="107" spans="16:38" x14ac:dyDescent="0.25">
      <c r="P107">
        <v>5</v>
      </c>
      <c r="Q107">
        <v>2.87</v>
      </c>
      <c r="R107">
        <v>2.8</v>
      </c>
      <c r="S107">
        <v>2.79</v>
      </c>
      <c r="T107">
        <v>2.68</v>
      </c>
      <c r="U107">
        <v>2.59</v>
      </c>
      <c r="V107">
        <v>2.5299999999999998</v>
      </c>
      <c r="AA107" s="9">
        <f t="shared" si="56"/>
        <v>2.7100000000000004</v>
      </c>
      <c r="AD107" s="8">
        <f t="shared" si="57"/>
        <v>0.1599999999999997</v>
      </c>
      <c r="AE107" s="8">
        <f t="shared" si="58"/>
        <v>8.9999999999999414E-2</v>
      </c>
      <c r="AF107" s="8">
        <f t="shared" si="59"/>
        <v>7.9999999999999627E-2</v>
      </c>
      <c r="AG107" s="8">
        <f t="shared" si="60"/>
        <v>-3.0000000000000249E-2</v>
      </c>
      <c r="AH107" s="8">
        <f t="shared" si="61"/>
        <v>-0.12000000000000055</v>
      </c>
      <c r="AI107" s="8">
        <f t="shared" si="62"/>
        <v>-0.1800000000000006</v>
      </c>
    </row>
    <row r="108" spans="16:38" x14ac:dyDescent="0.25">
      <c r="P108">
        <v>10</v>
      </c>
      <c r="Q108">
        <v>3.8</v>
      </c>
      <c r="R108">
        <v>3.76</v>
      </c>
      <c r="S108">
        <v>3.74</v>
      </c>
      <c r="T108">
        <v>3.57</v>
      </c>
      <c r="U108">
        <v>3.29</v>
      </c>
      <c r="V108">
        <v>3.03</v>
      </c>
      <c r="AA108" s="9">
        <f t="shared" si="56"/>
        <v>3.5316666666666667</v>
      </c>
      <c r="AD108" s="8">
        <f t="shared" si="57"/>
        <v>0.26833333333333309</v>
      </c>
      <c r="AE108" s="8">
        <f t="shared" si="58"/>
        <v>0.22833333333333306</v>
      </c>
      <c r="AF108" s="8">
        <f t="shared" si="59"/>
        <v>0.20833333333333348</v>
      </c>
      <c r="AG108" s="8">
        <f t="shared" si="60"/>
        <v>3.8333333333333108E-2</v>
      </c>
      <c r="AH108" s="8">
        <f t="shared" si="61"/>
        <v>-0.2416666666666667</v>
      </c>
      <c r="AI108" s="8">
        <f t="shared" si="62"/>
        <v>-0.50166666666666693</v>
      </c>
    </row>
    <row r="109" spans="16:38" x14ac:dyDescent="0.25">
      <c r="P109">
        <v>15</v>
      </c>
      <c r="Q109">
        <v>4.4400000000000004</v>
      </c>
      <c r="R109">
        <v>4.3499999999999996</v>
      </c>
      <c r="S109">
        <v>4.32</v>
      </c>
      <c r="T109">
        <v>4.0999999999999996</v>
      </c>
      <c r="U109">
        <v>3.71</v>
      </c>
      <c r="V109">
        <v>3.48</v>
      </c>
      <c r="AA109" s="9">
        <f t="shared" si="56"/>
        <v>4.0666666666666673</v>
      </c>
      <c r="AD109" s="8">
        <f t="shared" si="57"/>
        <v>0.37333333333333307</v>
      </c>
      <c r="AE109" s="8">
        <f t="shared" si="58"/>
        <v>0.28333333333333233</v>
      </c>
      <c r="AF109" s="8">
        <f t="shared" si="59"/>
        <v>0.25333333333333297</v>
      </c>
      <c r="AG109" s="8">
        <f t="shared" si="60"/>
        <v>3.3333333333332327E-2</v>
      </c>
      <c r="AH109" s="8">
        <f t="shared" si="61"/>
        <v>-0.35666666666666735</v>
      </c>
      <c r="AI109" s="8">
        <f t="shared" si="62"/>
        <v>-0.58666666666666734</v>
      </c>
    </row>
    <row r="110" spans="16:38" x14ac:dyDescent="0.25">
      <c r="P110">
        <v>20</v>
      </c>
      <c r="Q110">
        <v>4.82</v>
      </c>
      <c r="R110">
        <v>4.71</v>
      </c>
      <c r="S110">
        <v>4.66</v>
      </c>
      <c r="T110">
        <v>4.4400000000000004</v>
      </c>
      <c r="U110">
        <v>4.04</v>
      </c>
      <c r="V110">
        <v>3.77</v>
      </c>
      <c r="AA110" s="9">
        <f t="shared" si="56"/>
        <v>4.4066666666666672</v>
      </c>
      <c r="AD110" s="8">
        <f t="shared" si="57"/>
        <v>0.41333333333333311</v>
      </c>
      <c r="AE110" s="8">
        <f t="shared" si="58"/>
        <v>0.30333333333333279</v>
      </c>
      <c r="AF110" s="8">
        <f t="shared" si="59"/>
        <v>0.25333333333333297</v>
      </c>
      <c r="AG110" s="8">
        <f t="shared" si="60"/>
        <v>3.3333333333333215E-2</v>
      </c>
      <c r="AH110" s="8">
        <f t="shared" si="61"/>
        <v>-0.36666666666666714</v>
      </c>
      <c r="AI110" s="8">
        <f t="shared" si="62"/>
        <v>-0.63666666666666716</v>
      </c>
    </row>
    <row r="111" spans="16:38" x14ac:dyDescent="0.25">
      <c r="P111">
        <v>25</v>
      </c>
      <c r="Q111">
        <v>5.15</v>
      </c>
      <c r="R111">
        <v>5.03</v>
      </c>
      <c r="S111">
        <v>4.97</v>
      </c>
      <c r="T111">
        <v>4.74</v>
      </c>
      <c r="U111">
        <v>4.43</v>
      </c>
      <c r="V111">
        <v>4.0599999999999996</v>
      </c>
      <c r="AA111" s="9">
        <f t="shared" si="56"/>
        <v>4.7299999999999995</v>
      </c>
      <c r="AD111" s="8">
        <f t="shared" si="57"/>
        <v>0.42000000000000082</v>
      </c>
      <c r="AE111" s="8">
        <f t="shared" si="58"/>
        <v>0.30000000000000071</v>
      </c>
      <c r="AF111" s="8">
        <f t="shared" si="59"/>
        <v>0.24000000000000021</v>
      </c>
      <c r="AG111" s="8">
        <f t="shared" si="60"/>
        <v>1.0000000000000675E-2</v>
      </c>
      <c r="AH111" s="8">
        <f t="shared" si="61"/>
        <v>-0.29999999999999982</v>
      </c>
      <c r="AI111" s="8">
        <f t="shared" si="62"/>
        <v>-0.66999999999999993</v>
      </c>
    </row>
    <row r="112" spans="16:38" x14ac:dyDescent="0.25">
      <c r="P112">
        <v>30</v>
      </c>
      <c r="Q112">
        <v>5.32</v>
      </c>
      <c r="R112">
        <v>5.2</v>
      </c>
      <c r="S112">
        <v>5.12</v>
      </c>
      <c r="T112">
        <v>4.91</v>
      </c>
      <c r="U112">
        <v>4.53</v>
      </c>
      <c r="V112">
        <v>4.1100000000000003</v>
      </c>
      <c r="AA112" s="9">
        <f t="shared" si="56"/>
        <v>4.8650000000000002</v>
      </c>
      <c r="AD112" s="8">
        <f t="shared" si="57"/>
        <v>0.45500000000000007</v>
      </c>
      <c r="AE112" s="8">
        <f t="shared" si="58"/>
        <v>0.33499999999999996</v>
      </c>
      <c r="AF112" s="8">
        <f t="shared" si="59"/>
        <v>0.25499999999999989</v>
      </c>
      <c r="AG112" s="8">
        <f t="shared" si="60"/>
        <v>4.4999999999999929E-2</v>
      </c>
      <c r="AH112" s="8">
        <f t="shared" si="61"/>
        <v>-0.33499999999999996</v>
      </c>
      <c r="AI112" s="8">
        <f t="shared" si="62"/>
        <v>-0.75499999999999989</v>
      </c>
    </row>
    <row r="113" spans="16:35" x14ac:dyDescent="0.25">
      <c r="P113">
        <v>35</v>
      </c>
      <c r="Q113">
        <v>5.48</v>
      </c>
      <c r="R113">
        <v>5.35</v>
      </c>
      <c r="S113">
        <v>5.26</v>
      </c>
      <c r="T113">
        <v>5.0599999999999996</v>
      </c>
      <c r="U113">
        <v>4.63</v>
      </c>
      <c r="V113">
        <v>4.16</v>
      </c>
      <c r="AA113" s="9">
        <f t="shared" si="56"/>
        <v>4.9899999999999993</v>
      </c>
      <c r="AD113" s="8">
        <f t="shared" si="57"/>
        <v>0.4900000000000011</v>
      </c>
      <c r="AE113" s="8">
        <f t="shared" si="58"/>
        <v>0.36000000000000032</v>
      </c>
      <c r="AF113" s="8">
        <f t="shared" si="59"/>
        <v>0.27000000000000046</v>
      </c>
      <c r="AG113" s="8">
        <f t="shared" si="60"/>
        <v>7.0000000000000284E-2</v>
      </c>
      <c r="AH113" s="8">
        <f t="shared" si="61"/>
        <v>-0.35999999999999943</v>
      </c>
      <c r="AI113" s="8">
        <f t="shared" si="62"/>
        <v>-0.82999999999999918</v>
      </c>
    </row>
    <row r="114" spans="16:35" x14ac:dyDescent="0.25">
      <c r="P114">
        <v>40</v>
      </c>
      <c r="Q114">
        <v>5.56</v>
      </c>
      <c r="R114">
        <v>5.47</v>
      </c>
      <c r="S114">
        <v>5.43</v>
      </c>
      <c r="T114">
        <v>5.28</v>
      </c>
      <c r="U114">
        <v>4.7699999999999996</v>
      </c>
      <c r="V114">
        <v>4.2300000000000004</v>
      </c>
      <c r="AA114" s="9">
        <f t="shared" si="56"/>
        <v>5.123333333333334</v>
      </c>
      <c r="AD114" s="8">
        <f t="shared" si="57"/>
        <v>0.43666666666666565</v>
      </c>
      <c r="AE114" s="8">
        <f t="shared" si="58"/>
        <v>0.34666666666666579</v>
      </c>
      <c r="AF114" s="8">
        <f t="shared" si="59"/>
        <v>0.30666666666666575</v>
      </c>
      <c r="AG114" s="8">
        <f t="shared" si="60"/>
        <v>0.15666666666666629</v>
      </c>
      <c r="AH114" s="8">
        <f t="shared" si="61"/>
        <v>-0.35333333333333439</v>
      </c>
      <c r="AI114" s="8">
        <f t="shared" si="62"/>
        <v>-0.89333333333333353</v>
      </c>
    </row>
    <row r="116" spans="16:35" x14ac:dyDescent="0.25">
      <c r="AD116" s="8">
        <f>AVERAGE(AD106:AD114)</f>
        <v>0.35648148148148145</v>
      </c>
      <c r="AF116" s="8">
        <f>AVERAGE(AF106:AF114)</f>
        <v>0.20981481481481465</v>
      </c>
      <c r="AG116" s="8">
        <f>AVERAGE(AG106:AG114)</f>
        <v>3.7592592592592448E-2</v>
      </c>
      <c r="AH116" s="8">
        <f>AVERAGE(AH106:AH114)</f>
        <v>-0.28240740740740766</v>
      </c>
      <c r="AI116" s="8">
        <f>AVERAGE(AI106:AI114)</f>
        <v>-0.58018518518518536</v>
      </c>
    </row>
  </sheetData>
  <conditionalFormatting sqref="B12:M29">
    <cfRule type="colorScale" priority="11">
      <colorScale>
        <cfvo type="min"/>
        <cfvo type="percentile" val="50"/>
        <cfvo type="max"/>
        <color rgb="FFF8696B"/>
        <color rgb="FFFFEB84"/>
        <color rgb="FF63BE7B"/>
      </colorScale>
    </cfRule>
  </conditionalFormatting>
  <conditionalFormatting sqref="B33:M50">
    <cfRule type="colorScale" priority="10">
      <colorScale>
        <cfvo type="min"/>
        <cfvo type="percentile" val="50"/>
        <cfvo type="max"/>
        <color rgb="FFF8696B"/>
        <color rgb="FFFFEB84"/>
        <color rgb="FF63BE7B"/>
      </colorScale>
    </cfRule>
  </conditionalFormatting>
  <conditionalFormatting sqref="B54:M65">
    <cfRule type="colorScale" priority="9">
      <colorScale>
        <cfvo type="min"/>
        <cfvo type="percentile" val="50"/>
        <cfvo type="max"/>
        <color rgb="FFF8696B"/>
        <color rgb="FFFFEB84"/>
        <color rgb="FF63BE7B"/>
      </colorScale>
    </cfRule>
  </conditionalFormatting>
  <conditionalFormatting sqref="B69:G69 K69:M69 B70:M81 I69">
    <cfRule type="colorScale" priority="3">
      <colorScale>
        <cfvo type="min"/>
        <cfvo type="percentile" val="50"/>
        <cfvo type="max"/>
        <color rgb="FFF8696B"/>
        <color rgb="FFFFEB84"/>
        <color rgb="FF63BE7B"/>
      </colorScale>
    </cfRule>
  </conditionalFormatting>
  <conditionalFormatting sqref="J69:L81">
    <cfRule type="colorScale" priority="2">
      <colorScale>
        <cfvo type="min"/>
        <cfvo type="percentile" val="50"/>
        <cfvo type="max"/>
        <color rgb="FFF8696B"/>
        <color rgb="FFFFEB84"/>
        <color rgb="FF63BE7B"/>
      </colorScale>
    </cfRule>
  </conditionalFormatting>
  <conditionalFormatting sqref="H69:H7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19"/>
  <sheetViews>
    <sheetView workbookViewId="0">
      <selection activeCell="G22" sqref="G22"/>
    </sheetView>
  </sheetViews>
  <sheetFormatPr defaultRowHeight="15" x14ac:dyDescent="0.25"/>
  <cols>
    <col min="1" max="1" width="10.85546875" bestFit="1" customWidth="1"/>
    <col min="2" max="2" width="21.7109375" bestFit="1" customWidth="1"/>
    <col min="3" max="3" width="24.5703125" bestFit="1" customWidth="1"/>
    <col min="4" max="5" width="24.5703125" customWidth="1"/>
  </cols>
  <sheetData>
    <row r="1" spans="1:12" x14ac:dyDescent="0.25">
      <c r="B1" t="s">
        <v>43</v>
      </c>
      <c r="C1" t="s">
        <v>42</v>
      </c>
      <c r="D1" t="s">
        <v>80</v>
      </c>
      <c r="E1" t="s">
        <v>81</v>
      </c>
      <c r="H1" s="2" t="s">
        <v>21</v>
      </c>
      <c r="L1" t="s">
        <v>57</v>
      </c>
    </row>
    <row r="2" spans="1:12" x14ac:dyDescent="0.25">
      <c r="A2" t="s">
        <v>28</v>
      </c>
      <c r="B2">
        <v>22.5</v>
      </c>
      <c r="C2">
        <v>17</v>
      </c>
      <c r="H2" t="s">
        <v>22</v>
      </c>
      <c r="L2" t="s">
        <v>58</v>
      </c>
    </row>
    <row r="3" spans="1:12" x14ac:dyDescent="0.25">
      <c r="A3" t="s">
        <v>27</v>
      </c>
      <c r="B3">
        <v>25.5</v>
      </c>
      <c r="C3">
        <v>22</v>
      </c>
      <c r="H3" t="s">
        <v>45</v>
      </c>
    </row>
    <row r="4" spans="1:12" x14ac:dyDescent="0.25">
      <c r="A4" t="s">
        <v>31</v>
      </c>
      <c r="B4">
        <v>20</v>
      </c>
      <c r="C4">
        <v>17</v>
      </c>
      <c r="H4" t="s">
        <v>23</v>
      </c>
    </row>
    <row r="5" spans="1:12" x14ac:dyDescent="0.25">
      <c r="A5" t="s">
        <v>30</v>
      </c>
      <c r="B5">
        <v>32.1</v>
      </c>
      <c r="C5">
        <v>31</v>
      </c>
    </row>
    <row r="6" spans="1:12" x14ac:dyDescent="0.25">
      <c r="A6" t="s">
        <v>29</v>
      </c>
      <c r="B6">
        <v>17.600000000000001</v>
      </c>
      <c r="C6">
        <v>14</v>
      </c>
    </row>
    <row r="7" spans="1:12" x14ac:dyDescent="0.25">
      <c r="A7" t="s">
        <v>25</v>
      </c>
      <c r="B7">
        <v>19.899999999999999</v>
      </c>
      <c r="C7">
        <v>17</v>
      </c>
    </row>
    <row r="8" spans="1:12" x14ac:dyDescent="0.25">
      <c r="A8" t="s">
        <v>26</v>
      </c>
      <c r="B8">
        <v>24.8</v>
      </c>
      <c r="C8">
        <v>17</v>
      </c>
    </row>
    <row r="9" spans="1:12" x14ac:dyDescent="0.25">
      <c r="A9" t="s">
        <v>24</v>
      </c>
      <c r="B9">
        <v>21.8</v>
      </c>
      <c r="C9">
        <v>17</v>
      </c>
      <c r="D9">
        <v>2.1</v>
      </c>
      <c r="E9">
        <v>45.8</v>
      </c>
    </row>
    <row r="11" spans="1:12" x14ac:dyDescent="0.25">
      <c r="A11" s="2" t="s">
        <v>165</v>
      </c>
    </row>
    <row r="12" spans="1:12" x14ac:dyDescent="0.25">
      <c r="A12" t="s">
        <v>166</v>
      </c>
    </row>
    <row r="13" spans="1:12" x14ac:dyDescent="0.25">
      <c r="A13" t="s">
        <v>167</v>
      </c>
    </row>
    <row r="14" spans="1:12" x14ac:dyDescent="0.25">
      <c r="A14">
        <v>30</v>
      </c>
    </row>
    <row r="15" spans="1:12" x14ac:dyDescent="0.25">
      <c r="A15">
        <f>A14+30</f>
        <v>60</v>
      </c>
    </row>
    <row r="16" spans="1:12" x14ac:dyDescent="0.25">
      <c r="A16">
        <f t="shared" ref="A16:A19" si="0">A15+30</f>
        <v>90</v>
      </c>
    </row>
    <row r="17" spans="1:1" x14ac:dyDescent="0.25">
      <c r="A17">
        <f t="shared" si="0"/>
        <v>120</v>
      </c>
    </row>
    <row r="18" spans="1:1" x14ac:dyDescent="0.25">
      <c r="A18">
        <f t="shared" si="0"/>
        <v>150</v>
      </c>
    </row>
    <row r="19" spans="1:1" x14ac:dyDescent="0.25">
      <c r="A19">
        <f t="shared" si="0"/>
        <v>180</v>
      </c>
    </row>
  </sheetData>
  <sortState xmlns:xlrd2="http://schemas.microsoft.com/office/spreadsheetml/2017/richdata2" ref="A2:C9">
    <sortCondition ref="A2:A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45"/>
  <sheetViews>
    <sheetView topLeftCell="A14" workbookViewId="0">
      <selection activeCell="G31" sqref="G31"/>
    </sheetView>
  </sheetViews>
  <sheetFormatPr defaultRowHeight="15" x14ac:dyDescent="0.25"/>
  <cols>
    <col min="1" max="1" width="22.140625" bestFit="1" customWidth="1"/>
    <col min="2" max="2" width="20.5703125" bestFit="1" customWidth="1"/>
    <col min="5" max="5" width="20.42578125" bestFit="1" customWidth="1"/>
  </cols>
  <sheetData>
    <row r="1" spans="1:8" x14ac:dyDescent="0.25">
      <c r="A1" t="s">
        <v>60</v>
      </c>
      <c r="B1" t="s">
        <v>70</v>
      </c>
      <c r="D1" t="s">
        <v>62</v>
      </c>
      <c r="E1" t="s">
        <v>71</v>
      </c>
      <c r="H1" t="s">
        <v>90</v>
      </c>
    </row>
    <row r="2" spans="1:8" x14ac:dyDescent="0.25">
      <c r="A2">
        <v>300</v>
      </c>
      <c r="B2">
        <v>8.18</v>
      </c>
      <c r="D2">
        <v>110.16</v>
      </c>
      <c r="E2">
        <v>13.62</v>
      </c>
      <c r="H2" t="s">
        <v>61</v>
      </c>
    </row>
    <row r="3" spans="1:8" x14ac:dyDescent="0.25">
      <c r="A3">
        <v>600</v>
      </c>
      <c r="B3">
        <v>7.83</v>
      </c>
      <c r="D3">
        <v>110.41</v>
      </c>
      <c r="E3">
        <v>13.59</v>
      </c>
    </row>
    <row r="4" spans="1:8" x14ac:dyDescent="0.25">
      <c r="A4">
        <v>1000</v>
      </c>
      <c r="B4">
        <v>6.97</v>
      </c>
      <c r="D4">
        <v>66</v>
      </c>
      <c r="E4">
        <v>16.96</v>
      </c>
    </row>
    <row r="5" spans="1:8" x14ac:dyDescent="0.25">
      <c r="A5">
        <v>700</v>
      </c>
      <c r="B5">
        <v>4.22</v>
      </c>
      <c r="D5">
        <v>87.7</v>
      </c>
      <c r="E5">
        <v>14.33</v>
      </c>
    </row>
    <row r="6" spans="1:8" x14ac:dyDescent="0.25">
      <c r="A6">
        <v>2700</v>
      </c>
      <c r="B6">
        <v>4.13</v>
      </c>
      <c r="D6">
        <v>130.88</v>
      </c>
      <c r="E6">
        <v>18.829999999999998</v>
      </c>
    </row>
    <row r="7" spans="1:8" x14ac:dyDescent="0.25">
      <c r="A7">
        <v>4500</v>
      </c>
      <c r="B7">
        <v>3.7</v>
      </c>
      <c r="D7">
        <v>138.96</v>
      </c>
      <c r="E7">
        <v>19.29</v>
      </c>
    </row>
    <row r="8" spans="1:8" x14ac:dyDescent="0.25">
      <c r="A8">
        <v>5230</v>
      </c>
      <c r="B8">
        <v>2.0699999999999998</v>
      </c>
      <c r="D8">
        <v>66.3</v>
      </c>
      <c r="E8">
        <v>21.15</v>
      </c>
    </row>
    <row r="9" spans="1:8" x14ac:dyDescent="0.25">
      <c r="A9">
        <v>5000</v>
      </c>
      <c r="B9">
        <v>1.55</v>
      </c>
      <c r="D9">
        <v>61.8</v>
      </c>
      <c r="E9">
        <v>23.79</v>
      </c>
    </row>
    <row r="10" spans="1:8" x14ac:dyDescent="0.25">
      <c r="A10">
        <v>4500</v>
      </c>
      <c r="B10">
        <v>0.86</v>
      </c>
      <c r="D10">
        <v>61.1</v>
      </c>
      <c r="E10">
        <v>23.98</v>
      </c>
    </row>
    <row r="11" spans="1:8" x14ac:dyDescent="0.25">
      <c r="A11">
        <v>10000</v>
      </c>
      <c r="B11">
        <v>1.38</v>
      </c>
      <c r="D11">
        <v>103.85</v>
      </c>
      <c r="E11">
        <v>42.19</v>
      </c>
    </row>
    <row r="12" spans="1:8" x14ac:dyDescent="0.25">
      <c r="A12">
        <v>10200</v>
      </c>
      <c r="B12">
        <v>2.0699999999999998</v>
      </c>
      <c r="D12">
        <v>56</v>
      </c>
      <c r="E12">
        <v>49.08</v>
      </c>
    </row>
    <row r="13" spans="1:8" x14ac:dyDescent="0.25">
      <c r="A13">
        <v>10700</v>
      </c>
      <c r="B13">
        <v>1.21</v>
      </c>
      <c r="D13">
        <v>91.95</v>
      </c>
      <c r="E13">
        <v>60.95</v>
      </c>
    </row>
    <row r="14" spans="1:8" x14ac:dyDescent="0.25">
      <c r="A14">
        <v>75000</v>
      </c>
      <c r="B14">
        <v>0.71</v>
      </c>
      <c r="D14">
        <v>126.4</v>
      </c>
      <c r="E14">
        <v>68.59</v>
      </c>
    </row>
    <row r="15" spans="1:8" x14ac:dyDescent="0.25">
      <c r="D15">
        <v>150.1</v>
      </c>
      <c r="E15">
        <v>81.22</v>
      </c>
    </row>
    <row r="16" spans="1:8" x14ac:dyDescent="0.25">
      <c r="A16" t="s">
        <v>72</v>
      </c>
      <c r="B16">
        <f>AVERAGE(B2:B14)*1.64</f>
        <v>5.6617846153846143</v>
      </c>
      <c r="D16">
        <v>192.62</v>
      </c>
      <c r="E16">
        <v>84.59</v>
      </c>
    </row>
    <row r="17" spans="1:7" x14ac:dyDescent="0.25">
      <c r="D17">
        <v>106.95</v>
      </c>
      <c r="E17">
        <v>126.52</v>
      </c>
    </row>
    <row r="18" spans="1:7" x14ac:dyDescent="0.25">
      <c r="D18">
        <v>96.95</v>
      </c>
      <c r="E18">
        <v>141.56</v>
      </c>
    </row>
    <row r="19" spans="1:7" x14ac:dyDescent="0.25">
      <c r="D19">
        <v>70</v>
      </c>
      <c r="E19">
        <v>152.06</v>
      </c>
    </row>
    <row r="20" spans="1:7" x14ac:dyDescent="0.25">
      <c r="D20">
        <v>52.65</v>
      </c>
      <c r="E20">
        <v>174.82</v>
      </c>
    </row>
    <row r="21" spans="1:7" x14ac:dyDescent="0.25">
      <c r="D21">
        <v>132.56</v>
      </c>
      <c r="E21">
        <v>359.31</v>
      </c>
    </row>
    <row r="24" spans="1:7" x14ac:dyDescent="0.25">
      <c r="D24" t="s">
        <v>72</v>
      </c>
      <c r="E24">
        <f>AVERAGE(E2:E22)*1.64</f>
        <v>123.52725999999997</v>
      </c>
      <c r="F24" t="s">
        <v>91</v>
      </c>
    </row>
    <row r="27" spans="1:7" x14ac:dyDescent="0.25">
      <c r="A27" t="s">
        <v>158</v>
      </c>
    </row>
    <row r="28" spans="1:7" x14ac:dyDescent="0.25">
      <c r="A28" t="s">
        <v>137</v>
      </c>
      <c r="F28" t="s">
        <v>138</v>
      </c>
    </row>
    <row r="29" spans="1:7" x14ac:dyDescent="0.25">
      <c r="A29" t="s">
        <v>142</v>
      </c>
      <c r="B29" t="s">
        <v>159</v>
      </c>
      <c r="F29" t="s">
        <v>140</v>
      </c>
      <c r="G29" t="s">
        <v>141</v>
      </c>
    </row>
    <row r="30" spans="1:7" x14ac:dyDescent="0.25">
      <c r="A30">
        <v>0</v>
      </c>
      <c r="B30" t="s">
        <v>103</v>
      </c>
      <c r="F30">
        <v>0</v>
      </c>
      <c r="G30" t="s">
        <v>103</v>
      </c>
    </row>
    <row r="31" spans="1:7" x14ac:dyDescent="0.25">
      <c r="A31">
        <v>1</v>
      </c>
      <c r="B31">
        <f>IF(A31&gt;50000,6,IF(A31&gt;10000,4,2))</f>
        <v>2</v>
      </c>
      <c r="C31" s="8"/>
      <c r="F31">
        <v>1</v>
      </c>
      <c r="G31">
        <f>ROUND(MAX(F31/75000,3),0)</f>
        <v>3</v>
      </c>
    </row>
    <row r="32" spans="1:7" x14ac:dyDescent="0.25">
      <c r="A32">
        <v>5000</v>
      </c>
      <c r="B32">
        <f t="shared" ref="B32:B35" si="0">IF(A32&gt;50000,6,IF(A32&gt;10000,4,2))</f>
        <v>2</v>
      </c>
      <c r="C32" s="8"/>
      <c r="F32">
        <v>100000</v>
      </c>
      <c r="G32">
        <f t="shared" ref="G32:G35" si="1">ROUND(MAX(F32/75000,3),0)</f>
        <v>3</v>
      </c>
    </row>
    <row r="33" spans="1:7" x14ac:dyDescent="0.25">
      <c r="A33">
        <v>10000</v>
      </c>
      <c r="B33">
        <f t="shared" si="0"/>
        <v>2</v>
      </c>
      <c r="C33" s="8"/>
      <c r="F33">
        <v>200000</v>
      </c>
      <c r="G33">
        <f t="shared" si="1"/>
        <v>3</v>
      </c>
    </row>
    <row r="34" spans="1:7" x14ac:dyDescent="0.25">
      <c r="A34">
        <v>20000</v>
      </c>
      <c r="B34">
        <f t="shared" si="0"/>
        <v>4</v>
      </c>
      <c r="C34" s="8"/>
      <c r="F34">
        <v>500000</v>
      </c>
      <c r="G34">
        <f t="shared" si="1"/>
        <v>7</v>
      </c>
    </row>
    <row r="35" spans="1:7" x14ac:dyDescent="0.25">
      <c r="A35">
        <v>50000</v>
      </c>
      <c r="B35">
        <f t="shared" si="0"/>
        <v>4</v>
      </c>
      <c r="C35" s="8"/>
      <c r="F35">
        <v>1000000</v>
      </c>
      <c r="G35">
        <f t="shared" si="1"/>
        <v>13</v>
      </c>
    </row>
    <row r="36" spans="1:7" x14ac:dyDescent="0.25">
      <c r="A36">
        <v>100000</v>
      </c>
      <c r="B36">
        <f>IF(A36&gt;50000,6,IF(A36&gt;10000,4,2))</f>
        <v>6</v>
      </c>
      <c r="C36" s="8"/>
    </row>
    <row r="37" spans="1:7" x14ac:dyDescent="0.25">
      <c r="A37">
        <v>200000</v>
      </c>
      <c r="B37">
        <f>IF(A37&gt;50000,6,IF(A37&gt;10000,4,2))</f>
        <v>6</v>
      </c>
      <c r="C37" s="8"/>
    </row>
    <row r="38" spans="1:7" x14ac:dyDescent="0.25">
      <c r="A38">
        <v>300000</v>
      </c>
      <c r="B38" t="s">
        <v>103</v>
      </c>
      <c r="C38" s="8"/>
    </row>
    <row r="39" spans="1:7" x14ac:dyDescent="0.25">
      <c r="C39" s="8"/>
    </row>
    <row r="41" spans="1:7" x14ac:dyDescent="0.25">
      <c r="A41" t="s">
        <v>143</v>
      </c>
    </row>
    <row r="42" spans="1:7" x14ac:dyDescent="0.25">
      <c r="A42" s="2" t="s">
        <v>146</v>
      </c>
      <c r="B42" s="2" t="s">
        <v>140</v>
      </c>
      <c r="C42" s="2" t="s">
        <v>144</v>
      </c>
      <c r="D42" s="2" t="s">
        <v>145</v>
      </c>
      <c r="E42" s="2" t="s">
        <v>152</v>
      </c>
    </row>
    <row r="43" spans="1:7" x14ac:dyDescent="0.25">
      <c r="A43" t="s">
        <v>147</v>
      </c>
      <c r="B43" t="s">
        <v>148</v>
      </c>
      <c r="C43" t="s">
        <v>149</v>
      </c>
      <c r="D43" t="s">
        <v>150</v>
      </c>
      <c r="E43" t="s">
        <v>153</v>
      </c>
    </row>
    <row r="44" spans="1:7" x14ac:dyDescent="0.25">
      <c r="A44" t="s">
        <v>154</v>
      </c>
      <c r="B44" t="s">
        <v>151</v>
      </c>
      <c r="C44" t="s">
        <v>150</v>
      </c>
      <c r="D44" t="s">
        <v>149</v>
      </c>
      <c r="E44" t="s">
        <v>150</v>
      </c>
    </row>
    <row r="45" spans="1:7" x14ac:dyDescent="0.25">
      <c r="A45" t="s">
        <v>155</v>
      </c>
      <c r="B45" t="s">
        <v>156</v>
      </c>
      <c r="C45" t="s">
        <v>153</v>
      </c>
      <c r="D45" t="s">
        <v>157</v>
      </c>
      <c r="E45" t="s">
        <v>153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Tool Guide</vt:lpstr>
      <vt:lpstr>Selection Tool</vt:lpstr>
      <vt:lpstr>Refrigerant Guide</vt:lpstr>
      <vt:lpstr>R717</vt:lpstr>
      <vt:lpstr>R744</vt:lpstr>
      <vt:lpstr>Validation Data</vt:lpstr>
      <vt:lpstr>Thermal storage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Luo</dc:creator>
  <cp:lastModifiedBy>Matthew Deegan</cp:lastModifiedBy>
  <dcterms:created xsi:type="dcterms:W3CDTF">2020-09-16T23:22:04Z</dcterms:created>
  <dcterms:modified xsi:type="dcterms:W3CDTF">2021-11-17T05:47:42Z</dcterms:modified>
</cp:coreProperties>
</file>