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pict-my.sharepoint.com/personal/andreas_spict_onmicrosoft_com/Documents/Consulting/Projects/RedMeat/Econoliser 2023/calculator/"/>
    </mc:Choice>
  </mc:AlternateContent>
  <xr:revisionPtr revIDLastSave="676" documentId="14_{E0AE588D-3D24-459E-A574-3C87EFE7C4A8}" xr6:coauthVersionLast="47" xr6:coauthVersionMax="47" xr10:uidLastSave="{61970B9C-5CAE-42C7-9259-7103C8F0FB1A}"/>
  <bookViews>
    <workbookView xWindow="-120" yWindow="-120" windowWidth="29040" windowHeight="15720" tabRatio="250" xr2:uid="{00000000-000D-0000-FFFF-FFFF00000000}"/>
  </bookViews>
  <sheets>
    <sheet name="Calculator" sheetId="4" r:id="rId1"/>
    <sheet name="Steriliser Audit" sheetId="5" r:id="rId2"/>
    <sheet name="Lookup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3" l="1"/>
  <c r="A23" i="3"/>
  <c r="A35" i="3"/>
  <c r="A36" i="3"/>
  <c r="A22" i="3"/>
  <c r="A21" i="3"/>
  <c r="A24" i="3"/>
  <c r="A25" i="3"/>
  <c r="A26" i="3"/>
  <c r="A27" i="3"/>
  <c r="A28" i="3"/>
  <c r="A29" i="3"/>
  <c r="A31" i="3"/>
  <c r="A32" i="3"/>
  <c r="A33" i="3"/>
  <c r="A34" i="3"/>
  <c r="A37" i="3"/>
  <c r="A38" i="3"/>
  <c r="A39" i="3"/>
  <c r="A40" i="3"/>
  <c r="B31" i="4"/>
  <c r="C33" i="5" l="1"/>
  <c r="E35" i="5" s="1" a="1"/>
  <c r="E35" i="5" s="1"/>
  <c r="C20" i="5"/>
  <c r="D21" i="5" s="1" a="1"/>
  <c r="D21" i="5" s="1"/>
  <c r="C24" i="4"/>
  <c r="D34" i="5" l="1" a="1"/>
  <c r="D34" i="5" s="1"/>
  <c r="D37" i="5" s="1"/>
  <c r="C39" i="4"/>
  <c r="C25" i="4"/>
  <c r="B24" i="4"/>
  <c r="B25" i="4" s="1"/>
  <c r="B27" i="4" s="1"/>
  <c r="B29" i="4" s="1"/>
  <c r="B32" i="4" s="1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D14" i="4" l="1"/>
  <c r="C14" i="4"/>
  <c r="Q4" i="4" s="1"/>
  <c r="Q5" i="4" s="1"/>
  <c r="Q6" i="4" s="1"/>
  <c r="C15" i="4" s="1"/>
  <c r="B35" i="4"/>
  <c r="B36" i="4"/>
  <c r="B37" i="4"/>
  <c r="C28" i="4"/>
  <c r="C27" i="4"/>
  <c r="B26" i="4"/>
  <c r="C26" i="4"/>
  <c r="B38" i="4" l="1"/>
  <c r="B41" i="4" s="1"/>
  <c r="C29" i="4"/>
  <c r="C32" i="4" s="1"/>
  <c r="C31" i="4"/>
  <c r="C40" i="4" s="1"/>
  <c r="C34" i="4"/>
  <c r="C30" i="4"/>
  <c r="B34" i="4"/>
  <c r="B30" i="4"/>
  <c r="B33" i="4" l="1"/>
  <c r="C33" i="4"/>
  <c r="C41" i="4"/>
  <c r="A30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<sst xmlns="http://schemas.openxmlformats.org/spreadsheetml/2006/main" count="378" uniqueCount="216">
  <si>
    <t>Inputs</t>
  </si>
  <si>
    <t>Units</t>
  </si>
  <si>
    <t>Cost of heating water (optional)</t>
  </si>
  <si>
    <t>Plant Location</t>
  </si>
  <si>
    <t>VIC</t>
  </si>
  <si>
    <t>Fuel used per year</t>
  </si>
  <si>
    <t>Number of SF units</t>
  </si>
  <si>
    <t>units</t>
  </si>
  <si>
    <t>Assumes each is used once per carcase (for Econoliser use), multiple dips per steriliser do not affect steriliser calculations, but will slighlty underestimate Econoliser useage.</t>
  </si>
  <si>
    <t>$ per year</t>
  </si>
  <si>
    <t>Number of BR (and other) units</t>
  </si>
  <si>
    <t>GJ (based on your selected fuel sources in B13)</t>
  </si>
  <si>
    <t>Average flow rate (Sterilisers only)</t>
  </si>
  <si>
    <t>L/min</t>
  </si>
  <si>
    <t>kWh (converted from GJ)</t>
  </si>
  <si>
    <t>Water use per cycle (Econoliser)</t>
  </si>
  <si>
    <t>L</t>
  </si>
  <si>
    <t>$/kWh</t>
  </si>
  <si>
    <t>Average daily operating duration</t>
  </si>
  <si>
    <t>hours</t>
  </si>
  <si>
    <t>Need to take into account if plants turn the sterilisers off during breaks, or not.</t>
  </si>
  <si>
    <t>Average daily kill (SF)</t>
  </si>
  <si>
    <t>animals</t>
  </si>
  <si>
    <t>Average daily number of times knives are sterilised per unit (in BR &amp; other)</t>
  </si>
  <si>
    <t>times/unit</t>
  </si>
  <si>
    <t>Not every carcase requires trimming in the BR and subsequent sterilising of knife, but only a fraction, e.g. 1%. Essentially this is an average over all other steriliser units used by the plant. (See also Steriliser Audit Tab)</t>
  </si>
  <si>
    <t>Number of operating days per year</t>
  </si>
  <si>
    <t>days</t>
  </si>
  <si>
    <t>Water cost (combined purchase and disposal)</t>
  </si>
  <si>
    <t>$/kL</t>
  </si>
  <si>
    <t>Assumes that the two water amounts are the same.</t>
  </si>
  <si>
    <t>Electricity cost</t>
  </si>
  <si>
    <t>Purchased from the grid.</t>
  </si>
  <si>
    <t>Combustion source for water heating</t>
  </si>
  <si>
    <t xml:space="preserve">17: Natural gas distributed in a pipeline </t>
  </si>
  <si>
    <t>These drop down values correspond to the Clean Energy Regulator (CER) Measurement document items (inc. #'s).</t>
  </si>
  <si>
    <t>Energy content factor of combustion source</t>
  </si>
  <si>
    <t>Source: Schedule1 of "Fuel combustion of National Greenhouse and Energy Reporting (Measurement) Determination 2008"</t>
  </si>
  <si>
    <t>Cost to heat water (using plant's source above)</t>
  </si>
  <si>
    <r>
      <rPr>
        <b/>
        <sz val="10"/>
        <color rgb="FFFF0000"/>
        <rFont val="Arial"/>
        <family val="2"/>
      </rPr>
      <t>Default only - replace with your own value</t>
    </r>
    <r>
      <rPr>
        <sz val="10"/>
        <color rgb="FFFF0000"/>
        <rFont val="Arial"/>
        <family val="2"/>
      </rPr>
      <t>. Caution: Depending on the source the units may need to be changed to kWh (see Cells Q1:R6)</t>
    </r>
  </si>
  <si>
    <t>Average incoming water temperature into plant</t>
  </si>
  <si>
    <t>deg C</t>
  </si>
  <si>
    <t>Water temperature outgoing from heating source</t>
  </si>
  <si>
    <t>System heat retention efficiency</t>
  </si>
  <si>
    <t>Allows for heat loss throughout the system. This should include all aspects of the hot water supply, i.e. boiler, heat exchanger, pipework, etc.</t>
  </si>
  <si>
    <t>Water inlet temperature for Econoliser</t>
  </si>
  <si>
    <t>Econoliser can be connected to the cold water, warm (hand wash) or hot (steriliser) water supply, affecting potential benefits</t>
  </si>
  <si>
    <t>Water temperature (Econoliser)</t>
  </si>
  <si>
    <t>Used only for Econoliser; higher than 82C (on the knives), i.e. water heated in the small tank and displayed on the screen</t>
  </si>
  <si>
    <t>Outputs</t>
  </si>
  <si>
    <t>Steriliser</t>
  </si>
  <si>
    <t>Econoliser</t>
  </si>
  <si>
    <t>Daily water usage</t>
  </si>
  <si>
    <t>kL</t>
  </si>
  <si>
    <t>Annual water usage</t>
  </si>
  <si>
    <t>Annual cost of water</t>
  </si>
  <si>
    <t>$</t>
  </si>
  <si>
    <t>Annual energy needed to heat water (Hot water)</t>
  </si>
  <si>
    <t>GJ</t>
  </si>
  <si>
    <t>Takes into account the system efficiency factor, i.e. loss of heat in the system, and supply water temperature for Econoliser</t>
  </si>
  <si>
    <t>Annual energy needed to heat water (Econoliser)</t>
  </si>
  <si>
    <t>Annual energy needed to heat water (Combined)</t>
  </si>
  <si>
    <t>Annual energy needed to heat water (Hot water; unit change)</t>
  </si>
  <si>
    <t>kWh</t>
  </si>
  <si>
    <t>Annual energy needed to heat water (Econoliser; unit change)</t>
  </si>
  <si>
    <t>Annual energy needed to heat water (Combined; unit change)</t>
  </si>
  <si>
    <t>Annual energy cost to heat water</t>
  </si>
  <si>
    <t>Amount of combustion source needed to heat water supply</t>
  </si>
  <si>
    <t>kL or m3</t>
  </si>
  <si>
    <t xml:space="preserve">   CO2 emission factor</t>
  </si>
  <si>
    <t>kg CO2-e/GJ</t>
  </si>
  <si>
    <t>Source: Part 2 of "Fuel combustion of National Greenhouse and Energy Reporting (Measurement) Determination 2008"</t>
  </si>
  <si>
    <t xml:space="preserve">   CH4 emission factor</t>
  </si>
  <si>
    <t xml:space="preserve">   N2O emission factor</t>
  </si>
  <si>
    <t>Total emissions factor</t>
  </si>
  <si>
    <t>Emission Factor (based on location) for grid electricity</t>
  </si>
  <si>
    <t>kg CO2-e/kWh</t>
  </si>
  <si>
    <t>For purchased electricity from grid</t>
  </si>
  <si>
    <t>Total emissions (Econoliser only)</t>
  </si>
  <si>
    <t>t CO2-e</t>
  </si>
  <si>
    <t>Total emissions</t>
  </si>
  <si>
    <t>Location</t>
  </si>
  <si>
    <t>Station</t>
  </si>
  <si>
    <t>Number of sterilisers</t>
  </si>
  <si>
    <t>Water flow (L/min)</t>
  </si>
  <si>
    <t>Notes</t>
  </si>
  <si>
    <t>Slaughter floor</t>
  </si>
  <si>
    <t>Station 1</t>
  </si>
  <si>
    <t>Station 2</t>
  </si>
  <si>
    <t>Station 3</t>
  </si>
  <si>
    <t>Station 4</t>
  </si>
  <si>
    <t>Station 5</t>
  </si>
  <si>
    <t>Station 6</t>
  </si>
  <si>
    <t>Station 7</t>
  </si>
  <si>
    <t>Station 8</t>
  </si>
  <si>
    <t>Station 9</t>
  </si>
  <si>
    <t>Station 10</t>
  </si>
  <si>
    <t>Station 11</t>
  </si>
  <si>
    <t>Station 12</t>
  </si>
  <si>
    <t>Station 13</t>
  </si>
  <si>
    <t>Station 14</t>
  </si>
  <si>
    <t>Station 15</t>
  </si>
  <si>
    <t>Station 16</t>
  </si>
  <si>
    <t>Offal Room</t>
  </si>
  <si>
    <t>Include with SF?</t>
  </si>
  <si>
    <t>Other (add more rows as needed)</t>
  </si>
  <si>
    <t>Total</t>
  </si>
  <si>
    <t>Average flow rate</t>
  </si>
  <si>
    <t>Number of knife insertions per unit per day</t>
  </si>
  <si>
    <t>Boning Room</t>
  </si>
  <si>
    <t>MHA stand</t>
  </si>
  <si>
    <t>E.g. 10% of carcase sides</t>
  </si>
  <si>
    <t>CMA</t>
  </si>
  <si>
    <t>E.g. After defects</t>
  </si>
  <si>
    <t>Room Entry</t>
  </si>
  <si>
    <t>E.g. 100 staff on entry into BR, 4 times per day</t>
  </si>
  <si>
    <t>Other</t>
  </si>
  <si>
    <t>E.g. Dropped knives</t>
  </si>
  <si>
    <t>Carcase load out</t>
  </si>
  <si>
    <t>Caontainer load out</t>
  </si>
  <si>
    <t>Average usage (include only non-SF units)</t>
  </si>
  <si>
    <t>Combined average flow rate</t>
  </si>
  <si>
    <t>Constants</t>
  </si>
  <si>
    <t>Item</t>
  </si>
  <si>
    <t>Value</t>
  </si>
  <si>
    <t>Specific heat of water</t>
  </si>
  <si>
    <t>J/(kg K)</t>
  </si>
  <si>
    <t>MJ to kWh conversion</t>
  </si>
  <si>
    <t>MJ/kWh</t>
  </si>
  <si>
    <t>Consumption of electricity purchased from grid</t>
  </si>
  <si>
    <t>State/Territory</t>
  </si>
  <si>
    <t>Emission Factor</t>
  </si>
  <si>
    <t>NSW</t>
  </si>
  <si>
    <t>NT</t>
  </si>
  <si>
    <t>QLD</t>
  </si>
  <si>
    <t>SA</t>
  </si>
  <si>
    <t>TAS</t>
  </si>
  <si>
    <t>WA (South West inter)</t>
  </si>
  <si>
    <t>Energy sources (combined)</t>
  </si>
  <si>
    <t>Source: Schedule 1—Energy content factors and emission factors; National Greenhouse and Energy Reporting (Measurement) Determination 2008, 1 July 2023</t>
  </si>
  <si>
    <t>Emission factor kg CO2-e/GJ (relevant oxidation factors incorporated)</t>
  </si>
  <si>
    <t>ItemFuel</t>
  </si>
  <si>
    <t>Fuel</t>
  </si>
  <si>
    <t>EF</t>
  </si>
  <si>
    <t>CO2</t>
  </si>
  <si>
    <t>CH4</t>
  </si>
  <si>
    <t>N2O</t>
  </si>
  <si>
    <t>Type</t>
  </si>
  <si>
    <t>Bituminous coal</t>
  </si>
  <si>
    <t>GJ/t</t>
  </si>
  <si>
    <t>Solid</t>
  </si>
  <si>
    <t>Sub-bituminous coal</t>
  </si>
  <si>
    <t>1A</t>
  </si>
  <si>
    <t>Anthracite</t>
  </si>
  <si>
    <t>1B</t>
  </si>
  <si>
    <t>Brown coal</t>
  </si>
  <si>
    <t>Coking coal</t>
  </si>
  <si>
    <t>Coal briquettes</t>
  </si>
  <si>
    <t>Coal coke</t>
  </si>
  <si>
    <t>Coal tar</t>
  </si>
  <si>
    <t>Solid fossil fuels other than those mentioned in items 1 to 5</t>
  </si>
  <si>
    <t>Industrial materials that are derived from fossil fuels, if recycled and combusted to produce heat or electricity</t>
  </si>
  <si>
    <t>Passenger car tyres, if recycled and combusted to produce heat or electricity</t>
  </si>
  <si>
    <t>8A</t>
  </si>
  <si>
    <t>Truck and off-road tyres, if recycled and combusted to produce heat or electricity</t>
  </si>
  <si>
    <t>8B</t>
  </si>
  <si>
    <t>Non-biomass municipal materials, if recycled and combusted to produce heat or electricity</t>
  </si>
  <si>
    <t>Dry wood</t>
  </si>
  <si>
    <t>Green and air dried wood</t>
  </si>
  <si>
    <t>Sulphite lyes</t>
  </si>
  <si>
    <t>Bagasse</t>
  </si>
  <si>
    <t>Biomass municipal and industrial materials, if recycled and combusted to produce heat or electricity</t>
  </si>
  <si>
    <t>Charcoal</t>
  </si>
  <si>
    <t>Primary solid biomass fuels other than those mentioned in items 10 to 15</t>
  </si>
  <si>
    <t xml:space="preserve">Natural gas distributed in a pipeline </t>
  </si>
  <si>
    <t>GJ/m3</t>
  </si>
  <si>
    <t>Gaseous</t>
  </si>
  <si>
    <t xml:space="preserve">Coal seam methane that is captured for combustion </t>
  </si>
  <si>
    <t xml:space="preserve">Coal mine waste gas that is captured for combustion </t>
  </si>
  <si>
    <t xml:space="preserve">Compressed natural gas that has reverted to standard conditions </t>
  </si>
  <si>
    <t xml:space="preserve">Unprocessed natural gas </t>
  </si>
  <si>
    <t xml:space="preserve">Ethane </t>
  </si>
  <si>
    <t xml:space="preserve">Coke oven gas </t>
  </si>
  <si>
    <t xml:space="preserve">Blast furnace gas </t>
  </si>
  <si>
    <t xml:space="preserve">Town gas </t>
  </si>
  <si>
    <t xml:space="preserve">Liquefied natural gas </t>
  </si>
  <si>
    <t>GJ/kL</t>
  </si>
  <si>
    <t>Gaseous fossil fuels other than those mentioned in items 17 to 26</t>
  </si>
  <si>
    <t xml:space="preserve">Landfill biogas that is captured for combustion (methane only) </t>
  </si>
  <si>
    <t xml:space="preserve">Sludge biogas that is captured for combustion (methane only) </t>
  </si>
  <si>
    <t xml:space="preserve">Biomethane </t>
  </si>
  <si>
    <t>29A</t>
  </si>
  <si>
    <t>A biogas that is captured for combustion, other than those mentioned in items 28, 29 and 29A 
(methane only)</t>
  </si>
  <si>
    <t xml:space="preserve">Petroleum based oils (other than petroleum based oil used as fuel) </t>
  </si>
  <si>
    <t>Liquid</t>
  </si>
  <si>
    <t xml:space="preserve">Petroleum based greases </t>
  </si>
  <si>
    <t xml:space="preserve">Crude oil </t>
  </si>
  <si>
    <t xml:space="preserve">Plant condensate and other natural gas liquids not covered by another item in this table </t>
  </si>
  <si>
    <t xml:space="preserve">Gasoline (other than for use as fuel in an aircraft) </t>
  </si>
  <si>
    <t xml:space="preserve">Gasoline for use as fuel in an aircraft </t>
  </si>
  <si>
    <t xml:space="preserve">Kerosene (other than for use as fuel in an aircraft) </t>
  </si>
  <si>
    <t xml:space="preserve">Kerosene for use as fuel in an aircraft </t>
  </si>
  <si>
    <t xml:space="preserve">Heating oil </t>
  </si>
  <si>
    <t xml:space="preserve">Diesel oil </t>
  </si>
  <si>
    <t xml:space="preserve">Fuel oil </t>
  </si>
  <si>
    <t xml:space="preserve">Liquefied aromatic hydrocarbons </t>
  </si>
  <si>
    <t xml:space="preserve">Solvents if mineral turpentine or white spirits </t>
  </si>
  <si>
    <t xml:space="preserve">Liquefied petroleum gas </t>
  </si>
  <si>
    <t xml:space="preserve">Naphtha </t>
  </si>
  <si>
    <t xml:space="preserve">Petroleum coke </t>
  </si>
  <si>
    <t xml:space="preserve">Refinery gas and liquids </t>
  </si>
  <si>
    <t xml:space="preserve">Refinery coke </t>
  </si>
  <si>
    <t>Petroleum based products other than: 
(a) petroleum based oils and greases in 31 and 32; and (b) petroleum based products mentioned in 33 to 48</t>
  </si>
  <si>
    <t xml:space="preserve">Biodiesel </t>
  </si>
  <si>
    <t>Renewable aviation kerosene</t>
  </si>
  <si>
    <t>50A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</si>
</sst>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_-;\-* #,##0.00_-;_-* &quot;-&quot;??_-;_-@_-"/>
    <numFmt numFmtId="165" formatCode="&quot;$&quot;#,##0.00"/>
    <numFmt numFmtId="166" formatCode="#,##0_ ;\-#,##0\ "/>
    <numFmt numFmtId="167" formatCode="#,##0.0_ ;\-#,##0.0\ "/>
    <numFmt numFmtId="168" formatCode="#,##0.00_ ;\-#,##0.00\ "/>
    <numFmt numFmtId="169" formatCode="#,##0.0"/>
    <numFmt numFmtId="170" formatCode="&quot;$&quot;#,##0"/>
    <numFmt numFmtId="171" formatCode="_-* #,##0.0000_-;\-* #,##0.0000_-;_-* &quot;-&quot;??_-;_-@_-"/>
    <numFmt numFmtId="172" formatCode="_-* #,##0_-;\-* #,##0_-;_-* &quot;-&quot;??_-;_-@_-"/>
    <numFmt numFmtId="173" formatCode="0.0"/>
  </numFmts>
  <fonts count="30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0" tint="-0.249977111117893"/>
      <name val="Arial"/>
      <family val="2"/>
    </font>
    <font>
      <i/>
      <sz val="10"/>
      <name val="Arial"/>
      <family val="2"/>
    </font>
    <font>
      <i/>
      <sz val="10"/>
      <color theme="0" tint="-0.249977111117893"/>
      <name val="Arial"/>
      <family val="2"/>
    </font>
    <font>
      <b/>
      <i/>
      <sz val="10"/>
      <name val="Arial"/>
      <family val="2"/>
    </font>
    <font>
      <sz val="10"/>
      <color theme="0" tint="-0.34998626667073579"/>
      <name val="Arial"/>
      <family val="2"/>
    </font>
    <font>
      <sz val="11"/>
      <color rgb="FF00B0F0"/>
      <name val="Calibri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2" borderId="1" applyNumberFormat="0" applyAlignment="0" applyProtection="0"/>
    <xf numFmtId="0" fontId="6" fillId="16" borderId="2" applyNumberFormat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1" applyNumberFormat="0" applyAlignment="0" applyProtection="0"/>
    <xf numFmtId="0" fontId="13" fillId="0" borderId="6" applyNumberFormat="0" applyFill="0" applyAlignment="0" applyProtection="0"/>
    <xf numFmtId="0" fontId="14" fillId="8" borderId="0" applyNumberFormat="0" applyBorder="0" applyAlignment="0" applyProtection="0"/>
    <xf numFmtId="0" fontId="19" fillId="4" borderId="7" applyNumberFormat="0" applyAlignment="0" applyProtection="0"/>
    <xf numFmtId="0" fontId="15" fillId="2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53">
    <xf numFmtId="0" fontId="0" fillId="0" borderId="0" xfId="0"/>
    <xf numFmtId="0" fontId="9" fillId="0" borderId="3" xfId="31"/>
    <xf numFmtId="0" fontId="20" fillId="0" borderId="0" xfId="0" applyFont="1"/>
    <xf numFmtId="166" fontId="1" fillId="0" borderId="0" xfId="28" applyNumberFormat="1"/>
    <xf numFmtId="168" fontId="1" fillId="0" borderId="0" xfId="28" applyNumberForma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11" fontId="0" fillId="0" borderId="0" xfId="0" applyNumberFormat="1"/>
    <xf numFmtId="169" fontId="0" fillId="0" borderId="0" xfId="0" applyNumberFormat="1"/>
    <xf numFmtId="0" fontId="22" fillId="0" borderId="0" xfId="0" applyFont="1"/>
    <xf numFmtId="0" fontId="20" fillId="18" borderId="0" xfId="0" applyFont="1" applyFill="1"/>
    <xf numFmtId="167" fontId="20" fillId="18" borderId="0" xfId="28" applyNumberFormat="1" applyFont="1" applyFill="1"/>
    <xf numFmtId="170" fontId="20" fillId="18" borderId="0" xfId="28" applyNumberFormat="1" applyFont="1" applyFill="1"/>
    <xf numFmtId="0" fontId="0" fillId="19" borderId="0" xfId="0" applyFill="1"/>
    <xf numFmtId="0" fontId="21" fillId="19" borderId="0" xfId="0" applyFont="1" applyFill="1"/>
    <xf numFmtId="0" fontId="20" fillId="0" borderId="0" xfId="0" applyFont="1" applyAlignment="1">
      <alignment horizontal="right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5" fillId="18" borderId="0" xfId="0" applyFont="1" applyFill="1"/>
    <xf numFmtId="0" fontId="25" fillId="18" borderId="0" xfId="0" quotePrefix="1" applyFont="1" applyFill="1"/>
    <xf numFmtId="3" fontId="22" fillId="0" borderId="0" xfId="0" applyNumberFormat="1" applyFont="1"/>
    <xf numFmtId="0" fontId="26" fillId="19" borderId="0" xfId="0" applyFont="1" applyFill="1"/>
    <xf numFmtId="164" fontId="1" fillId="0" borderId="0" xfId="28"/>
    <xf numFmtId="171" fontId="0" fillId="0" borderId="0" xfId="0" applyNumberFormat="1"/>
    <xf numFmtId="2" fontId="5" fillId="2" borderId="1" xfId="26" applyNumberFormat="1"/>
    <xf numFmtId="0" fontId="5" fillId="2" borderId="1" xfId="26"/>
    <xf numFmtId="172" fontId="5" fillId="2" borderId="1" xfId="26" applyNumberFormat="1"/>
    <xf numFmtId="0" fontId="0" fillId="20" borderId="0" xfId="0" applyFill="1"/>
    <xf numFmtId="9" fontId="12" fillId="3" borderId="10" xfId="35" applyNumberFormat="1" applyBorder="1" applyAlignment="1" applyProtection="1">
      <protection locked="0"/>
    </xf>
    <xf numFmtId="0" fontId="0" fillId="0" borderId="0" xfId="0" applyAlignment="1">
      <alignment vertical="top"/>
    </xf>
    <xf numFmtId="11" fontId="0" fillId="0" borderId="0" xfId="0" applyNumberFormat="1" applyAlignment="1">
      <alignment vertical="top"/>
    </xf>
    <xf numFmtId="0" fontId="0" fillId="0" borderId="0" xfId="0" applyAlignment="1">
      <alignment horizontal="right" vertical="top"/>
    </xf>
    <xf numFmtId="0" fontId="12" fillId="3" borderId="1" xfId="35" applyAlignment="1" applyProtection="1">
      <alignment vertical="top"/>
      <protection locked="0"/>
    </xf>
    <xf numFmtId="0" fontId="23" fillId="0" borderId="0" xfId="0" applyFont="1" applyAlignment="1">
      <alignment vertical="top"/>
    </xf>
    <xf numFmtId="3" fontId="0" fillId="20" borderId="0" xfId="0" applyNumberFormat="1" applyFill="1"/>
    <xf numFmtId="0" fontId="12" fillId="3" borderId="1" xfId="35" applyAlignment="1" applyProtection="1">
      <protection locked="0"/>
    </xf>
    <xf numFmtId="165" fontId="27" fillId="3" borderId="1" xfId="35" applyNumberFormat="1" applyFont="1" applyAlignment="1" applyProtection="1">
      <protection locked="0"/>
    </xf>
    <xf numFmtId="165" fontId="12" fillId="3" borderId="1" xfId="35" applyNumberFormat="1" applyAlignment="1" applyProtection="1">
      <protection locked="0"/>
    </xf>
    <xf numFmtId="173" fontId="20" fillId="0" borderId="0" xfId="0" applyNumberFormat="1" applyFont="1"/>
    <xf numFmtId="0" fontId="21" fillId="0" borderId="0" xfId="0" applyFont="1"/>
    <xf numFmtId="2" fontId="20" fillId="0" borderId="0" xfId="0" applyNumberFormat="1" applyFont="1"/>
    <xf numFmtId="2" fontId="17" fillId="9" borderId="0" xfId="11" applyNumberFormat="1" applyFont="1"/>
    <xf numFmtId="1" fontId="17" fillId="9" borderId="0" xfId="11" applyNumberFormat="1" applyFont="1"/>
    <xf numFmtId="165" fontId="0" fillId="0" borderId="0" xfId="0" applyNumberFormat="1"/>
    <xf numFmtId="2" fontId="0" fillId="0" borderId="0" xfId="0" applyNumberFormat="1"/>
    <xf numFmtId="172" fontId="1" fillId="20" borderId="0" xfId="28" applyNumberFormat="1" applyFill="1" applyAlignment="1">
      <alignment vertical="top"/>
    </xf>
    <xf numFmtId="0" fontId="0" fillId="20" borderId="0" xfId="0" applyFill="1" applyAlignment="1">
      <alignment vertical="top"/>
    </xf>
    <xf numFmtId="0" fontId="12" fillId="3" borderId="1" xfId="35" applyAlignment="1" applyProtection="1">
      <alignment horizontal="right"/>
      <protection locked="0"/>
    </xf>
    <xf numFmtId="0" fontId="12" fillId="3" borderId="1" xfId="35" applyAlignment="1" applyProtection="1">
      <alignment vertical="top" wrapText="1"/>
      <protection locked="0"/>
    </xf>
    <xf numFmtId="0" fontId="0" fillId="19" borderId="0" xfId="0" applyFill="1" applyAlignment="1">
      <alignment horizontal="left" vertical="top" wrapText="1"/>
    </xf>
    <xf numFmtId="0" fontId="0" fillId="19" borderId="0" xfId="0" applyFill="1" applyAlignment="1">
      <alignment wrapText="1"/>
    </xf>
    <xf numFmtId="0" fontId="20" fillId="0" borderId="0" xfId="0" applyFont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3"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23FF2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15</xdr:col>
      <xdr:colOff>0</xdr:colOff>
      <xdr:row>1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919371-3B68-4C04-B148-79DBE22F758B}"/>
            </a:ext>
          </a:extLst>
        </xdr:cNvPr>
        <xdr:cNvSpPr txBox="1"/>
      </xdr:nvSpPr>
      <xdr:spPr>
        <a:xfrm>
          <a:off x="5876925" y="0"/>
          <a:ext cx="8067675" cy="4572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Note: Input boxes are coloured using orange background. Some of these are direct entry and a couple are drop down boxes. In Column E+ are explanatory</a:t>
          </a:r>
          <a:r>
            <a:rPr lang="en-AU" sz="1100" baseline="0"/>
            <a:t> comments. Comments / questions to: andreas.kiermeier@gmail.com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B3A94A7-E444-4CB0-9B3C-B7C47A65D13A}" name="Table3" displayName="Table3" ref="A1:E19" totalsRowShown="0">
  <autoFilter ref="A1:E19" xr:uid="{FB3A94A7-E444-4CB0-9B3C-B7C47A65D13A}"/>
  <tableColumns count="5">
    <tableColumn id="1" xr3:uid="{82A00206-340C-43C5-B4F4-47B846FEAB2C}" name="Location"/>
    <tableColumn id="2" xr3:uid="{D57795A8-55BD-4C38-A43D-0AC533FDEBED}" name="Station"/>
    <tableColumn id="3" xr3:uid="{0DE43C82-C5D7-4B1D-9BCD-A8E2AF7311C0}" name="Number of sterilisers"/>
    <tableColumn id="4" xr3:uid="{997166B1-9936-4FFA-B5A2-A26EDA56B6F2}" name="Water flow (L/min)"/>
    <tableColumn id="6" xr3:uid="{071C5C49-2246-4DC4-8D31-001578A30FDB}" name="Notes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3A47494-F66E-4B2D-89E2-29DFCD7D5ABF}" name="Table35" displayName="Table35" ref="A25:F32" totalsRowShown="0">
  <autoFilter ref="A25:F32" xr:uid="{63A47494-F66E-4B2D-89E2-29DFCD7D5ABF}"/>
  <tableColumns count="6">
    <tableColumn id="1" xr3:uid="{B6C8D3EB-E41E-46DA-B08E-595B1D47AA1D}" name="Location"/>
    <tableColumn id="2" xr3:uid="{F7A05837-DC2D-4528-BC88-671581A2CF41}" name="Station"/>
    <tableColumn id="3" xr3:uid="{BB970374-9F12-4181-8EF5-73D5C5993B75}" name="Number of sterilisers"/>
    <tableColumn id="4" xr3:uid="{3EB85B37-5A59-4559-B862-46024B760D31}" name="Water flow (L/min)"/>
    <tableColumn id="5" xr3:uid="{6993695F-466E-4DE5-B84C-6C522F198878}" name="Number of knife insertions per unit per day"/>
    <tableColumn id="6" xr3:uid="{3376B9D4-F798-46C7-A879-5DDF17C1BD7A}" name="Notes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7CCFA2-DED1-4BD9-A73C-C0A0A3D6F7DC}" name="EF.table.elec.purch" displayName="EF.table.elec.purch" ref="A7:C14" totalsRowShown="0" headerRowDxfId="2">
  <autoFilter ref="A7:C14" xr:uid="{AB7CCFA2-DED1-4BD9-A73C-C0A0A3D6F7DC}"/>
  <tableColumns count="3">
    <tableColumn id="1" xr3:uid="{DF869133-C8B3-4CB0-A8A2-551008B48AE4}" name="State/Territory"/>
    <tableColumn id="2" xr3:uid="{8DC1D786-5FC8-40FB-840F-FC5AFCEB770D}" name="Emission Factor"/>
    <tableColumn id="3" xr3:uid="{009D92AF-0A21-476D-A3D8-41B413A4D387}" name="Units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645656-108E-4E88-82C2-AE434ABCDA90}" name="EF.table.combust" displayName="EF.table.combust" ref="A20:I76" totalsRowShown="0" headerRowDxfId="1">
  <autoFilter ref="A20:I76" xr:uid="{73645656-108E-4E88-82C2-AE434ABCDA90}"/>
  <tableColumns count="9">
    <tableColumn id="6" xr3:uid="{67F895D3-3DF9-48AA-87AB-41FFC6B736AB}" name="ItemFuel">
      <calculatedColumnFormula>EF.table.combust[[#This Row],[Item]]&amp;": "&amp;EF.table.combust[[#This Row],[Fuel]]</calculatedColumnFormula>
    </tableColumn>
    <tableColumn id="1" xr3:uid="{A85F02AE-ED63-4D8C-97AD-11B535B1F7A5}" name="Fuel"/>
    <tableColumn id="2" xr3:uid="{F5A5C709-AEB4-4B70-ABBB-9A27F6F5EFCA}" name="EF"/>
    <tableColumn id="3" xr3:uid="{696F0AFC-BCB4-41D0-9BFD-D098492362A5}" name="CO2"/>
    <tableColumn id="4" xr3:uid="{4FD6A575-E360-4D24-BDBF-C4EF0E2396F5}" name="CH4"/>
    <tableColumn id="5" xr3:uid="{DD75D639-3D58-4FB2-B9B0-C0C740B3BF5C}" name="N2O"/>
    <tableColumn id="7" xr3:uid="{2E9B1E3E-E2A2-4A6D-A4F5-2C6E493B33D0}" name="Units"/>
    <tableColumn id="8" xr3:uid="{05A3D0D2-E63A-4A2D-9A70-FDD7277DC435}" name="Type"/>
    <tableColumn id="9" xr3:uid="{E3BBAC0F-E1EB-4686-9B0B-43E98BD7BC0D}" name="Item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6C43E-8E15-4F79-81A4-29747BA345A7}">
  <dimension ref="A1:R44"/>
  <sheetViews>
    <sheetView tabSelected="1" zoomScaleNormal="100" workbookViewId="0">
      <selection activeCell="C2" sqref="C2"/>
    </sheetView>
  </sheetViews>
  <sheetFormatPr defaultRowHeight="12.75"/>
  <cols>
    <col min="1" max="1" width="51" bestFit="1" customWidth="1"/>
    <col min="2" max="2" width="12.7109375" bestFit="1" customWidth="1"/>
    <col min="3" max="3" width="11.140625" bestFit="1" customWidth="1"/>
    <col min="4" max="4" width="13.28515625" customWidth="1"/>
    <col min="5" max="15" width="11" style="13" customWidth="1"/>
    <col min="16" max="16" width="10.7109375" customWidth="1"/>
    <col min="17" max="17" width="12.7109375" customWidth="1"/>
    <col min="18" max="18" width="43.42578125" bestFit="1" customWidth="1"/>
  </cols>
  <sheetData>
    <row r="1" spans="1:18" ht="24" customHeight="1" thickBot="1">
      <c r="A1" s="1" t="s">
        <v>0</v>
      </c>
      <c r="D1" s="16" t="s">
        <v>1</v>
      </c>
      <c r="Q1" s="2" t="s">
        <v>2</v>
      </c>
    </row>
    <row r="2" spans="1:18" ht="13.5" customHeight="1" thickTop="1">
      <c r="A2" t="s">
        <v>3</v>
      </c>
      <c r="C2" s="48" t="s">
        <v>4</v>
      </c>
      <c r="D2" s="16"/>
      <c r="Q2" s="35">
        <v>1000000</v>
      </c>
      <c r="R2" s="28" t="s">
        <v>5</v>
      </c>
    </row>
    <row r="3" spans="1:18" ht="25.5" customHeight="1">
      <c r="A3" s="30" t="s">
        <v>6</v>
      </c>
      <c r="B3" s="30"/>
      <c r="C3" s="33">
        <v>50</v>
      </c>
      <c r="D3" s="34" t="s">
        <v>7</v>
      </c>
      <c r="E3" s="51" t="s">
        <v>8</v>
      </c>
      <c r="F3" s="51"/>
      <c r="G3" s="51"/>
      <c r="H3" s="51"/>
      <c r="I3" s="51"/>
      <c r="J3" s="51"/>
      <c r="K3" s="51"/>
      <c r="L3" s="51"/>
      <c r="M3" s="51"/>
      <c r="N3" s="51"/>
      <c r="O3" s="51"/>
      <c r="Q3" s="46">
        <v>2000000</v>
      </c>
      <c r="R3" s="47" t="s">
        <v>9</v>
      </c>
    </row>
    <row r="4" spans="1:18" ht="12.75" customHeight="1">
      <c r="A4" t="s">
        <v>10</v>
      </c>
      <c r="C4" s="36">
        <v>10</v>
      </c>
      <c r="D4" s="16" t="s">
        <v>7</v>
      </c>
      <c r="Q4" s="25">
        <f>Q2*C14</f>
        <v>39300</v>
      </c>
      <c r="R4" s="26" t="s">
        <v>11</v>
      </c>
    </row>
    <row r="5" spans="1:18" ht="12.75" customHeight="1">
      <c r="A5" t="s">
        <v>12</v>
      </c>
      <c r="C5" s="36">
        <v>4</v>
      </c>
      <c r="D5" s="16" t="s">
        <v>13</v>
      </c>
      <c r="Q5" s="27">
        <f>Q4*1000/Lookup!B4</f>
        <v>10916666.666666666</v>
      </c>
      <c r="R5" s="26" t="s">
        <v>14</v>
      </c>
    </row>
    <row r="6" spans="1:18" ht="12.75" customHeight="1">
      <c r="A6" t="s">
        <v>15</v>
      </c>
      <c r="C6" s="36">
        <v>0.14000000000000001</v>
      </c>
      <c r="D6" s="16" t="s">
        <v>16</v>
      </c>
      <c r="Q6" s="25">
        <f>Q3/Q5</f>
        <v>0.18320610687022901</v>
      </c>
      <c r="R6" s="26" t="s">
        <v>17</v>
      </c>
    </row>
    <row r="7" spans="1:18" ht="12.75" customHeight="1">
      <c r="A7" t="s">
        <v>18</v>
      </c>
      <c r="C7" s="36">
        <v>9</v>
      </c>
      <c r="D7" s="16" t="s">
        <v>19</v>
      </c>
      <c r="E7" s="13" t="s">
        <v>20</v>
      </c>
    </row>
    <row r="8" spans="1:18" ht="12.75" customHeight="1">
      <c r="A8" t="s">
        <v>21</v>
      </c>
      <c r="C8" s="36">
        <v>600</v>
      </c>
      <c r="D8" s="16" t="s">
        <v>22</v>
      </c>
    </row>
    <row r="9" spans="1:18" ht="25.5">
      <c r="A9" s="6" t="s">
        <v>23</v>
      </c>
      <c r="C9" s="33">
        <v>10</v>
      </c>
      <c r="D9" s="34" t="s">
        <v>24</v>
      </c>
      <c r="E9" s="50" t="s">
        <v>25</v>
      </c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18" ht="12.75" customHeight="1">
      <c r="A10" t="s">
        <v>26</v>
      </c>
      <c r="C10" s="36">
        <v>250</v>
      </c>
      <c r="D10" s="16" t="s">
        <v>27</v>
      </c>
    </row>
    <row r="11" spans="1:18" ht="12.75" customHeight="1">
      <c r="A11" t="s">
        <v>28</v>
      </c>
      <c r="C11" s="36">
        <v>4.2</v>
      </c>
      <c r="D11" s="16" t="s">
        <v>29</v>
      </c>
      <c r="E11" s="13" t="s">
        <v>30</v>
      </c>
    </row>
    <row r="12" spans="1:18" ht="12.75" customHeight="1">
      <c r="A12" t="s">
        <v>31</v>
      </c>
      <c r="C12" s="38">
        <v>0.16</v>
      </c>
      <c r="D12" s="16" t="s">
        <v>17</v>
      </c>
      <c r="E12" s="13" t="s">
        <v>32</v>
      </c>
    </row>
    <row r="13" spans="1:18" ht="12.75" customHeight="1">
      <c r="A13" t="s">
        <v>33</v>
      </c>
      <c r="B13" s="49" t="s">
        <v>34</v>
      </c>
      <c r="C13" s="49"/>
      <c r="D13" s="16"/>
      <c r="E13" s="13" t="s">
        <v>35</v>
      </c>
    </row>
    <row r="14" spans="1:18">
      <c r="A14" s="9" t="s">
        <v>36</v>
      </c>
      <c r="C14" s="9">
        <f>VLOOKUP($B$13,EF.table.combust[],3)</f>
        <v>3.9300000000000002E-2</v>
      </c>
      <c r="D14" s="17" t="str">
        <f>VLOOKUP($B$13,EF.table.combust[],7)</f>
        <v>GJ/m3</v>
      </c>
      <c r="E14" s="13" t="s">
        <v>37</v>
      </c>
    </row>
    <row r="15" spans="1:18" ht="12.75" customHeight="1">
      <c r="A15" t="s">
        <v>38</v>
      </c>
      <c r="C15" s="37">
        <f>Q6</f>
        <v>0.18320610687022901</v>
      </c>
      <c r="D15" s="16" t="s">
        <v>17</v>
      </c>
      <c r="E15" s="14" t="s">
        <v>39</v>
      </c>
      <c r="P15" s="23"/>
    </row>
    <row r="16" spans="1:18" ht="12.75" customHeight="1">
      <c r="A16" t="s">
        <v>40</v>
      </c>
      <c r="C16" s="36">
        <v>15</v>
      </c>
      <c r="D16" s="16" t="s">
        <v>41</v>
      </c>
      <c r="P16" s="24"/>
    </row>
    <row r="17" spans="1:5" ht="12.75" customHeight="1">
      <c r="A17" t="s">
        <v>42</v>
      </c>
      <c r="C17" s="36">
        <v>94</v>
      </c>
      <c r="D17" s="16" t="s">
        <v>41</v>
      </c>
    </row>
    <row r="18" spans="1:5" ht="12.75" customHeight="1">
      <c r="A18" t="s">
        <v>43</v>
      </c>
      <c r="C18" s="29">
        <v>0.7</v>
      </c>
      <c r="D18" s="16"/>
      <c r="E18" s="13" t="s">
        <v>44</v>
      </c>
    </row>
    <row r="19" spans="1:5" ht="12.75" customHeight="1">
      <c r="A19" t="s">
        <v>45</v>
      </c>
      <c r="C19" s="36">
        <v>15</v>
      </c>
      <c r="D19" s="16" t="s">
        <v>41</v>
      </c>
      <c r="E19" s="13" t="s">
        <v>46</v>
      </c>
    </row>
    <row r="20" spans="1:5" ht="12.75" customHeight="1">
      <c r="A20" t="s">
        <v>47</v>
      </c>
      <c r="C20" s="36">
        <v>94</v>
      </c>
      <c r="D20" s="16" t="s">
        <v>41</v>
      </c>
      <c r="E20" s="13" t="s">
        <v>48</v>
      </c>
    </row>
    <row r="21" spans="1:5">
      <c r="D21" s="16"/>
    </row>
    <row r="22" spans="1:5" ht="20.25" thickBot="1">
      <c r="A22" s="1" t="s">
        <v>49</v>
      </c>
      <c r="D22" s="16"/>
    </row>
    <row r="23" spans="1:5" ht="13.5" thickTop="1">
      <c r="B23" s="15" t="s">
        <v>50</v>
      </c>
      <c r="C23" s="15" t="s">
        <v>51</v>
      </c>
      <c r="D23" s="18"/>
    </row>
    <row r="24" spans="1:5">
      <c r="A24" t="s">
        <v>52</v>
      </c>
      <c r="B24" s="4">
        <f>(C3+C4)*C5*(C7*60)/1000</f>
        <v>129.6</v>
      </c>
      <c r="C24" s="4">
        <f>(C3*C8+C4*C9)*C6/1000</f>
        <v>4.2140000000000004</v>
      </c>
      <c r="D24" s="16" t="s">
        <v>53</v>
      </c>
    </row>
    <row r="25" spans="1:5">
      <c r="A25" t="s">
        <v>54</v>
      </c>
      <c r="B25" s="4">
        <f>B24*C10</f>
        <v>32400</v>
      </c>
      <c r="C25" s="4">
        <f>C24*C10</f>
        <v>1053.5</v>
      </c>
      <c r="D25" s="16" t="s">
        <v>53</v>
      </c>
    </row>
    <row r="26" spans="1:5">
      <c r="A26" s="10" t="s">
        <v>55</v>
      </c>
      <c r="B26" s="12">
        <f>B25*$C$11</f>
        <v>136080</v>
      </c>
      <c r="C26" s="12">
        <f>C25*$C$11</f>
        <v>4424.7</v>
      </c>
      <c r="D26" s="19" t="s">
        <v>56</v>
      </c>
    </row>
    <row r="27" spans="1:5">
      <c r="A27" t="s">
        <v>57</v>
      </c>
      <c r="B27" s="3">
        <f>B25*((C17-C16)/C18)*Lookup!$B$3/1000000</f>
        <v>15321.034285714286</v>
      </c>
      <c r="C27" s="3">
        <f>MAX(0,C25*((C19-C16)/C18)*Lookup!$B$3/1000000)</f>
        <v>0</v>
      </c>
      <c r="D27" s="16" t="s">
        <v>58</v>
      </c>
      <c r="E27" s="13" t="s">
        <v>59</v>
      </c>
    </row>
    <row r="28" spans="1:5">
      <c r="A28" t="s">
        <v>60</v>
      </c>
      <c r="B28" s="3"/>
      <c r="C28" s="3">
        <f>C25*(C20-C19)*Lookup!$B$3/1000000</f>
        <v>348.71903500000002</v>
      </c>
      <c r="D28" s="16" t="s">
        <v>58</v>
      </c>
    </row>
    <row r="29" spans="1:5">
      <c r="A29" t="s">
        <v>61</v>
      </c>
      <c r="B29" s="3">
        <f>SUM(B27:B28)</f>
        <v>15321.034285714286</v>
      </c>
      <c r="C29" s="3">
        <f>SUM(C27:C28)</f>
        <v>348.71903500000002</v>
      </c>
      <c r="D29" s="16" t="s">
        <v>58</v>
      </c>
    </row>
    <row r="30" spans="1:5">
      <c r="A30" s="9" t="s">
        <v>62</v>
      </c>
      <c r="B30" s="21">
        <f>(B27*1000)/Lookup!$B$4</f>
        <v>4255842.8571428573</v>
      </c>
      <c r="C30" s="21">
        <f>(C27*1000)/Lookup!$B$4</f>
        <v>0</v>
      </c>
      <c r="D30" s="17" t="s">
        <v>63</v>
      </c>
    </row>
    <row r="31" spans="1:5">
      <c r="A31" s="9" t="s">
        <v>64</v>
      </c>
      <c r="B31" s="21">
        <f>(B28*1000)/Lookup!$B$4</f>
        <v>0</v>
      </c>
      <c r="C31" s="21">
        <f>(C28*1000)/Lookup!$B$4</f>
        <v>96866.398611111115</v>
      </c>
      <c r="D31" s="17" t="s">
        <v>63</v>
      </c>
    </row>
    <row r="32" spans="1:5">
      <c r="A32" s="9" t="s">
        <v>65</v>
      </c>
      <c r="B32" s="21">
        <f>(B29*1000)/Lookup!$B$4</f>
        <v>4255842.8571428573</v>
      </c>
      <c r="C32" s="21">
        <f>(C29*1000)/Lookup!$B$4</f>
        <v>96866.398611111115</v>
      </c>
      <c r="D32" s="17" t="s">
        <v>63</v>
      </c>
    </row>
    <row r="33" spans="1:5">
      <c r="A33" s="10" t="s">
        <v>66</v>
      </c>
      <c r="B33" s="11">
        <f>C15*B30</f>
        <v>779696.40130861511</v>
      </c>
      <c r="C33" s="11">
        <f>C15*C30+C31*C12</f>
        <v>15498.623777777779</v>
      </c>
      <c r="D33" s="20" t="s">
        <v>56</v>
      </c>
    </row>
    <row r="34" spans="1:5">
      <c r="A34" t="s">
        <v>67</v>
      </c>
      <c r="B34" s="8">
        <f>B27/C14</f>
        <v>389848.2006543075</v>
      </c>
      <c r="C34" s="8">
        <f>IF(C27&gt;0,C27/C14,0)</f>
        <v>0</v>
      </c>
      <c r="D34" s="16" t="s">
        <v>68</v>
      </c>
    </row>
    <row r="35" spans="1:5">
      <c r="A35" s="9" t="s">
        <v>69</v>
      </c>
      <c r="B35" s="9">
        <f>VLOOKUP($B$13,EF.table.combust[],4)</f>
        <v>51.4</v>
      </c>
      <c r="C35" s="9"/>
      <c r="D35" s="17" t="s">
        <v>70</v>
      </c>
      <c r="E35" s="22" t="s">
        <v>71</v>
      </c>
    </row>
    <row r="36" spans="1:5">
      <c r="A36" s="9" t="s">
        <v>72</v>
      </c>
      <c r="B36" s="9">
        <f>VLOOKUP($B$13,EF.table.combust[],5)</f>
        <v>0.1</v>
      </c>
      <c r="C36" s="9"/>
      <c r="D36" s="17" t="s">
        <v>70</v>
      </c>
      <c r="E36" s="22" t="s">
        <v>71</v>
      </c>
    </row>
    <row r="37" spans="1:5">
      <c r="A37" s="9" t="s">
        <v>73</v>
      </c>
      <c r="B37" s="9">
        <f>VLOOKUP($B$13,EF.table.combust[],6)</f>
        <v>0.03</v>
      </c>
      <c r="C37" s="9"/>
      <c r="D37" s="17" t="s">
        <v>70</v>
      </c>
      <c r="E37" s="22" t="s">
        <v>71</v>
      </c>
    </row>
    <row r="38" spans="1:5">
      <c r="A38" t="s">
        <v>74</v>
      </c>
      <c r="B38">
        <f>SUM(B35:B37)</f>
        <v>51.53</v>
      </c>
      <c r="D38" s="16" t="s">
        <v>70</v>
      </c>
    </row>
    <row r="39" spans="1:5">
      <c r="A39" t="s">
        <v>75</v>
      </c>
      <c r="C39">
        <f>VLOOKUP($C$2,EF.table.elec.purch[],2)</f>
        <v>0.85</v>
      </c>
      <c r="D39" s="16" t="s">
        <v>76</v>
      </c>
      <c r="E39" s="13" t="s">
        <v>77</v>
      </c>
    </row>
    <row r="40" spans="1:5">
      <c r="A40" s="2" t="s">
        <v>78</v>
      </c>
      <c r="C40" s="39">
        <f>C31*C39/1000</f>
        <v>82.336438819444453</v>
      </c>
      <c r="D40" s="18" t="s">
        <v>79</v>
      </c>
    </row>
    <row r="41" spans="1:5">
      <c r="A41" s="10" t="s">
        <v>80</v>
      </c>
      <c r="B41" s="11">
        <f>B27*B38/1000</f>
        <v>789.49289674285717</v>
      </c>
      <c r="C41" s="11">
        <f>C27*B38/1000+C40</f>
        <v>82.336438819444453</v>
      </c>
      <c r="D41" s="19" t="s">
        <v>79</v>
      </c>
    </row>
    <row r="43" spans="1:5">
      <c r="B43" s="44"/>
    </row>
    <row r="44" spans="1:5">
      <c r="B44" s="45"/>
    </row>
  </sheetData>
  <mergeCells count="3">
    <mergeCell ref="B13:C13"/>
    <mergeCell ref="E9:O9"/>
    <mergeCell ref="E3:O3"/>
  </mergeCells>
  <dataValidations count="16">
    <dataValidation type="list" allowBlank="1" showInputMessage="1" showErrorMessage="1" sqref="B13:C13" xr:uid="{03617D9E-1856-4977-8122-DF84178F6526}">
      <formula1>INDIRECT("EF.table.combust[ItemFuel]")</formula1>
    </dataValidation>
    <dataValidation type="whole" allowBlank="1" showInputMessage="1" showErrorMessage="1" error="Steriliser units must be between 1 and 100." sqref="C3:C4" xr:uid="{D34C53EB-F150-4F57-9B40-3E748CB7A07F}">
      <formula1>0</formula1>
      <formula2>100</formula2>
    </dataValidation>
    <dataValidation type="decimal" allowBlank="1" showInputMessage="1" showErrorMessage="1" error="Flow rate should fall between 0.1 and 15L per minute." sqref="C5" xr:uid="{B7B92AB7-6A99-4FAB-8F42-231CBAC79FB4}">
      <formula1>0.1</formula1>
      <formula2>15</formula2>
    </dataValidation>
    <dataValidation type="decimal" allowBlank="1" showInputMessage="1" showErrorMessage="1" error="Input values must fall between 0.08 and 0.20 L." sqref="C6" xr:uid="{05A93251-1450-429E-851B-75EF6E64EE73}">
      <formula1>0.08</formula1>
      <formula2>0.2</formula2>
    </dataValidation>
    <dataValidation type="decimal" allowBlank="1" showInputMessage="1" showErrorMessage="1" error="Average daily opartating hours must fall between 1 and 24 hours." sqref="C7" xr:uid="{427D828E-2543-4D61-B3A9-7401BF3D1B82}">
      <formula1>1</formula1>
      <formula2>24</formula2>
    </dataValidation>
    <dataValidation type="whole" allowBlank="1" showInputMessage="1" showErrorMessage="1" error="Average daily kill must fall between 1 and 12,000." sqref="C8" xr:uid="{69CC2AF9-39B6-4602-90A5-1C86143BC7D3}">
      <formula1>1</formula1>
      <formula2>10000</formula2>
    </dataValidation>
    <dataValidation type="decimal" allowBlank="1" showInputMessage="1" showErrorMessage="1" error="Average daily number of carcassess needing knife sterlising in the boning room and other areas must be less than or equal the daily kill." sqref="C9" xr:uid="{05BDB924-FC59-4623-9240-48B22E9F955E}">
      <formula1>1</formula1>
      <formula2>15000</formula2>
    </dataValidation>
    <dataValidation type="whole" allowBlank="1" showInputMessage="1" showErrorMessage="1" error="Number of operating days per year must fall between 1 and 366." sqref="C10" xr:uid="{15C80B63-10A8-47BF-AEA5-725B3CADE0A3}">
      <formula1>1</formula1>
      <formula2>365</formula2>
    </dataValidation>
    <dataValidation type="decimal" allowBlank="1" showInputMessage="1" showErrorMessage="1" error="Water cost must fall between 0 and 20 $/kL." sqref="C11" xr:uid="{20B0A701-232E-46A7-99B0-70B5DF24325D}">
      <formula1>0</formula1>
      <formula2>20</formula2>
    </dataValidation>
    <dataValidation type="decimal" allowBlank="1" showInputMessage="1" showErrorMessage="1" error="Electricity cost must fall between 0 and 10 $/kWh." sqref="C12" xr:uid="{6A9DB939-1550-4F0D-8ED0-9C4E48564D1E}">
      <formula1>0</formula1>
      <formula2>20</formula2>
    </dataValidation>
    <dataValidation type="decimal" allowBlank="1" showInputMessage="1" showErrorMessage="1" error="Cost to heat water must fall between 0 and 10 $/kWh." sqref="C15" xr:uid="{660865F2-080B-49F7-8C47-56BC6C7E7712}">
      <formula1>0</formula1>
      <formula2>20</formula2>
    </dataValidation>
    <dataValidation type="decimal" allowBlank="1" showInputMessage="1" showErrorMessage="1" error="Incoming water temperature must fall between 0 and 50 degrees C." sqref="C16" xr:uid="{07AB35CF-E6B7-48EB-B629-D036330087AB}">
      <formula1>0</formula1>
      <formula2>50</formula2>
    </dataValidation>
    <dataValidation type="decimal" allowBlank="1" showInputMessage="1" showErrorMessage="1" error="Outgoing water temperature must fall between 80 and 100 degrees C." sqref="C17" xr:uid="{F371E800-22E7-4387-BB5D-B06704443DEB}">
      <formula1>80</formula1>
      <formula2>100</formula2>
    </dataValidation>
    <dataValidation type="decimal" allowBlank="1" showInputMessage="1" showErrorMessage="1" error="System efficiency must fall between 1 and 100%." sqref="C18" xr:uid="{644CF92D-B29D-4402-8009-3685519F24E0}">
      <formula1>0.01</formula1>
      <formula2>1</formula2>
    </dataValidation>
    <dataValidation type="decimal" allowBlank="1" showInputMessage="1" showErrorMessage="1" error="Incoming water temperature must fall between the incoming supply temperature to the plant (B16) and 85 degrees C." sqref="C19" xr:uid="{F96E90CA-A48D-4551-9171-5BAF35892C1A}">
      <formula1>C16</formula1>
      <formula2>85</formula2>
    </dataValidation>
    <dataValidation type="decimal" allowBlank="1" showInputMessage="1" showErrorMessage="1" error="Econoliser water temperature must fall between 80 and 100 degrees C." sqref="C20" xr:uid="{E91BD1E7-A53F-45A9-A00A-3D07CA31495E}">
      <formula1>80</formula1>
      <formula2>100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5EE748-B2BF-49B9-9B2B-55CA3DDC28E4}">
          <x14:formula1>
            <xm:f>Lookup!$A$8:$A$14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F3316-0BA5-4C45-A280-DF263365F951}">
  <dimension ref="A1:F37"/>
  <sheetViews>
    <sheetView zoomScale="115" zoomScaleNormal="115" workbookViewId="0">
      <selection activeCell="A3" sqref="A3"/>
    </sheetView>
  </sheetViews>
  <sheetFormatPr defaultRowHeight="12.75"/>
  <cols>
    <col min="1" max="1" width="29.140625" bestFit="1" customWidth="1"/>
    <col min="2" max="2" width="10.85546875" bestFit="1" customWidth="1"/>
    <col min="3" max="3" width="21.5703125" customWidth="1"/>
    <col min="4" max="4" width="20.28515625" bestFit="1" customWidth="1"/>
    <col min="5" max="5" width="36.140625" customWidth="1"/>
    <col min="6" max="6" width="41" bestFit="1" customWidth="1"/>
  </cols>
  <sheetData>
    <row r="1" spans="1:5">
      <c r="A1" t="s">
        <v>81</v>
      </c>
      <c r="B1" t="s">
        <v>82</v>
      </c>
      <c r="C1" t="s">
        <v>83</v>
      </c>
      <c r="D1" t="s">
        <v>84</v>
      </c>
      <c r="E1" t="s">
        <v>85</v>
      </c>
    </row>
    <row r="2" spans="1:5">
      <c r="A2" t="s">
        <v>86</v>
      </c>
      <c r="B2" t="s">
        <v>87</v>
      </c>
      <c r="C2">
        <v>1</v>
      </c>
      <c r="D2">
        <v>3</v>
      </c>
    </row>
    <row r="3" spans="1:5">
      <c r="A3" t="s">
        <v>86</v>
      </c>
      <c r="B3" t="s">
        <v>88</v>
      </c>
      <c r="C3">
        <v>1</v>
      </c>
      <c r="D3">
        <v>3</v>
      </c>
    </row>
    <row r="4" spans="1:5">
      <c r="A4" t="s">
        <v>86</v>
      </c>
      <c r="B4" t="s">
        <v>89</v>
      </c>
      <c r="C4">
        <v>1</v>
      </c>
      <c r="D4">
        <v>3</v>
      </c>
    </row>
    <row r="5" spans="1:5">
      <c r="A5" t="s">
        <v>86</v>
      </c>
      <c r="B5" t="s">
        <v>90</v>
      </c>
      <c r="C5">
        <v>2</v>
      </c>
      <c r="D5">
        <v>3.8</v>
      </c>
    </row>
    <row r="6" spans="1:5">
      <c r="A6" t="s">
        <v>86</v>
      </c>
      <c r="B6" t="s">
        <v>91</v>
      </c>
      <c r="C6">
        <v>1</v>
      </c>
      <c r="D6">
        <v>4</v>
      </c>
    </row>
    <row r="7" spans="1:5">
      <c r="A7" t="s">
        <v>86</v>
      </c>
      <c r="B7" t="s">
        <v>92</v>
      </c>
      <c r="C7">
        <v>1</v>
      </c>
      <c r="D7">
        <v>3</v>
      </c>
    </row>
    <row r="8" spans="1:5">
      <c r="A8" t="s">
        <v>86</v>
      </c>
      <c r="B8" t="s">
        <v>93</v>
      </c>
      <c r="C8">
        <v>1</v>
      </c>
      <c r="D8">
        <v>3</v>
      </c>
    </row>
    <row r="9" spans="1:5">
      <c r="A9" t="s">
        <v>86</v>
      </c>
      <c r="B9" t="s">
        <v>94</v>
      </c>
      <c r="C9">
        <v>1</v>
      </c>
      <c r="D9">
        <v>3</v>
      </c>
    </row>
    <row r="10" spans="1:5">
      <c r="A10" t="s">
        <v>86</v>
      </c>
      <c r="B10" t="s">
        <v>95</v>
      </c>
      <c r="C10">
        <v>1</v>
      </c>
      <c r="D10">
        <v>3</v>
      </c>
    </row>
    <row r="11" spans="1:5">
      <c r="A11" t="s">
        <v>86</v>
      </c>
      <c r="B11" t="s">
        <v>96</v>
      </c>
      <c r="C11">
        <v>1</v>
      </c>
      <c r="D11">
        <v>3</v>
      </c>
    </row>
    <row r="12" spans="1:5">
      <c r="A12" t="s">
        <v>86</v>
      </c>
      <c r="B12" t="s">
        <v>97</v>
      </c>
      <c r="C12">
        <v>1</v>
      </c>
      <c r="D12">
        <v>3</v>
      </c>
    </row>
    <row r="13" spans="1:5">
      <c r="A13" t="s">
        <v>86</v>
      </c>
      <c r="B13" t="s">
        <v>98</v>
      </c>
      <c r="C13">
        <v>1</v>
      </c>
      <c r="D13">
        <v>3</v>
      </c>
    </row>
    <row r="14" spans="1:5">
      <c r="A14" t="s">
        <v>86</v>
      </c>
      <c r="B14" t="s">
        <v>99</v>
      </c>
      <c r="C14">
        <v>1</v>
      </c>
      <c r="D14">
        <v>3</v>
      </c>
    </row>
    <row r="15" spans="1:5">
      <c r="A15" t="s">
        <v>86</v>
      </c>
      <c r="B15" t="s">
        <v>100</v>
      </c>
      <c r="C15">
        <v>1</v>
      </c>
      <c r="D15">
        <v>3</v>
      </c>
    </row>
    <row r="16" spans="1:5">
      <c r="A16" t="s">
        <v>86</v>
      </c>
      <c r="B16" t="s">
        <v>101</v>
      </c>
      <c r="C16">
        <v>1</v>
      </c>
      <c r="D16">
        <v>3</v>
      </c>
    </row>
    <row r="17" spans="1:6">
      <c r="A17" t="s">
        <v>86</v>
      </c>
      <c r="B17" t="s">
        <v>102</v>
      </c>
      <c r="C17">
        <v>1</v>
      </c>
      <c r="D17">
        <v>3</v>
      </c>
    </row>
    <row r="18" spans="1:6">
      <c r="A18" t="s">
        <v>103</v>
      </c>
      <c r="C18">
        <v>1</v>
      </c>
      <c r="D18">
        <v>2</v>
      </c>
      <c r="E18" t="s">
        <v>104</v>
      </c>
    </row>
    <row r="19" spans="1:6">
      <c r="A19" s="40" t="s">
        <v>105</v>
      </c>
    </row>
    <row r="20" spans="1:6">
      <c r="A20" s="2"/>
      <c r="B20" s="2" t="s">
        <v>106</v>
      </c>
      <c r="C20" s="2">
        <f>SUM(Table3[Number of sterilisers])</f>
        <v>18</v>
      </c>
      <c r="D20" s="2"/>
      <c r="E20" s="2"/>
    </row>
    <row r="21" spans="1:6">
      <c r="C21" s="15" t="s">
        <v>107</v>
      </c>
      <c r="D21" s="41" cm="1">
        <f t="array" ref="D21">SUM(Table3[Number of sterilisers]*Table3[Water flow (L/min)])/C20</f>
        <v>3.088888888888889</v>
      </c>
    </row>
    <row r="25" spans="1:6">
      <c r="A25" t="s">
        <v>81</v>
      </c>
      <c r="B25" t="s">
        <v>82</v>
      </c>
      <c r="C25" t="s">
        <v>83</v>
      </c>
      <c r="D25" t="s">
        <v>84</v>
      </c>
      <c r="E25" t="s">
        <v>108</v>
      </c>
      <c r="F25" t="s">
        <v>85</v>
      </c>
    </row>
    <row r="26" spans="1:6">
      <c r="A26" t="s">
        <v>109</v>
      </c>
      <c r="B26" t="s">
        <v>110</v>
      </c>
      <c r="C26">
        <v>2</v>
      </c>
      <c r="D26">
        <v>4</v>
      </c>
      <c r="E26">
        <v>200</v>
      </c>
      <c r="F26" t="s">
        <v>111</v>
      </c>
    </row>
    <row r="27" spans="1:6">
      <c r="A27" t="s">
        <v>109</v>
      </c>
      <c r="B27" t="s">
        <v>112</v>
      </c>
      <c r="C27">
        <v>1</v>
      </c>
      <c r="D27">
        <v>3</v>
      </c>
      <c r="E27">
        <v>10</v>
      </c>
      <c r="F27" t="s">
        <v>113</v>
      </c>
    </row>
    <row r="28" spans="1:6">
      <c r="A28" t="s">
        <v>109</v>
      </c>
      <c r="B28" t="s">
        <v>114</v>
      </c>
      <c r="C28">
        <v>1</v>
      </c>
      <c r="D28">
        <v>3</v>
      </c>
      <c r="E28">
        <v>400</v>
      </c>
      <c r="F28" t="s">
        <v>115</v>
      </c>
    </row>
    <row r="29" spans="1:6">
      <c r="A29" t="s">
        <v>109</v>
      </c>
      <c r="B29" t="s">
        <v>116</v>
      </c>
      <c r="C29">
        <v>1</v>
      </c>
      <c r="D29">
        <v>3</v>
      </c>
      <c r="E29">
        <v>10</v>
      </c>
      <c r="F29" t="s">
        <v>117</v>
      </c>
    </row>
    <row r="30" spans="1:6">
      <c r="A30" t="s">
        <v>118</v>
      </c>
      <c r="C30">
        <v>1</v>
      </c>
      <c r="D30">
        <v>3</v>
      </c>
      <c r="E30">
        <v>10</v>
      </c>
    </row>
    <row r="31" spans="1:6">
      <c r="A31" t="s">
        <v>119</v>
      </c>
      <c r="C31">
        <v>1</v>
      </c>
      <c r="D31">
        <v>3</v>
      </c>
      <c r="E31">
        <v>5</v>
      </c>
    </row>
    <row r="32" spans="1:6">
      <c r="A32" s="40" t="s">
        <v>105</v>
      </c>
    </row>
    <row r="33" spans="2:5">
      <c r="B33" s="2" t="s">
        <v>106</v>
      </c>
      <c r="C33" s="2">
        <f>SUM(C26:C32)</f>
        <v>7</v>
      </c>
    </row>
    <row r="34" spans="2:5">
      <c r="C34" s="15" t="s">
        <v>107</v>
      </c>
      <c r="D34" s="41" cm="1">
        <f t="array" ref="D34">SUM(Table35[Number of sterilisers]*Table35[Water flow (L/min)])/C33</f>
        <v>3.2857142857142856</v>
      </c>
    </row>
    <row r="35" spans="2:5" ht="15">
      <c r="C35" s="15" t="s">
        <v>120</v>
      </c>
      <c r="D35" s="2"/>
      <c r="E35" s="43" cm="1">
        <f t="array" ref="E35">SUM(Table35[Number of sterilisers]*Table35[Number of knife insertions per unit per day])/C33</f>
        <v>119.28571428571429</v>
      </c>
    </row>
    <row r="37" spans="2:5" ht="15">
      <c r="C37" s="15" t="s">
        <v>121</v>
      </c>
      <c r="D37" s="42">
        <f>(D21*C20+D34*C33)/(C20+C33)</f>
        <v>3.1439999999999997</v>
      </c>
    </row>
  </sheetData>
  <phoneticPr fontId="28" type="noConversion"/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6"/>
  <sheetViews>
    <sheetView zoomScaleNormal="100" workbookViewId="0"/>
  </sheetViews>
  <sheetFormatPr defaultRowHeight="12.75"/>
  <cols>
    <col min="1" max="1" width="32.140625" customWidth="1"/>
    <col min="2" max="2" width="17.42578125" customWidth="1"/>
    <col min="3" max="3" width="12.5703125" customWidth="1"/>
    <col min="4" max="4" width="16.28515625" customWidth="1"/>
    <col min="5" max="5" width="19" bestFit="1" customWidth="1"/>
    <col min="9" max="9" width="7.28515625" bestFit="1" customWidth="1"/>
  </cols>
  <sheetData>
    <row r="1" spans="1:6" ht="20.25" thickBot="1">
      <c r="A1" s="1" t="s">
        <v>122</v>
      </c>
    </row>
    <row r="2" spans="1:6" ht="13.5" thickTop="1">
      <c r="A2" s="2" t="s">
        <v>123</v>
      </c>
      <c r="B2" s="2" t="s">
        <v>124</v>
      </c>
      <c r="C2" s="2" t="s">
        <v>1</v>
      </c>
      <c r="F2" s="2"/>
    </row>
    <row r="3" spans="1:6">
      <c r="A3" t="s">
        <v>125</v>
      </c>
      <c r="B3">
        <v>4190</v>
      </c>
      <c r="C3" t="s">
        <v>126</v>
      </c>
    </row>
    <row r="4" spans="1:6">
      <c r="A4" t="s">
        <v>127</v>
      </c>
      <c r="B4">
        <v>3.6</v>
      </c>
      <c r="C4" t="s">
        <v>128</v>
      </c>
    </row>
    <row r="6" spans="1:6" ht="20.25" thickBot="1">
      <c r="A6" s="1" t="s">
        <v>129</v>
      </c>
    </row>
    <row r="7" spans="1:6" ht="13.5" thickTop="1">
      <c r="A7" s="2" t="s">
        <v>130</v>
      </c>
      <c r="B7" s="2" t="s">
        <v>131</v>
      </c>
      <c r="C7" s="2" t="s">
        <v>1</v>
      </c>
    </row>
    <row r="8" spans="1:6">
      <c r="A8" t="s">
        <v>132</v>
      </c>
      <c r="B8">
        <v>0.73</v>
      </c>
      <c r="C8" t="s">
        <v>76</v>
      </c>
    </row>
    <row r="9" spans="1:6">
      <c r="A9" t="s">
        <v>133</v>
      </c>
      <c r="B9">
        <v>0.54</v>
      </c>
      <c r="C9" t="s">
        <v>76</v>
      </c>
    </row>
    <row r="10" spans="1:6">
      <c r="A10" t="s">
        <v>134</v>
      </c>
      <c r="B10">
        <v>0.73</v>
      </c>
      <c r="C10" t="s">
        <v>76</v>
      </c>
    </row>
    <row r="11" spans="1:6">
      <c r="A11" t="s">
        <v>135</v>
      </c>
      <c r="B11">
        <v>0.25</v>
      </c>
      <c r="C11" t="s">
        <v>76</v>
      </c>
    </row>
    <row r="12" spans="1:6">
      <c r="A12" t="s">
        <v>136</v>
      </c>
      <c r="B12">
        <v>0.17</v>
      </c>
      <c r="C12" t="s">
        <v>76</v>
      </c>
    </row>
    <row r="13" spans="1:6">
      <c r="A13" t="s">
        <v>4</v>
      </c>
      <c r="B13">
        <v>0.85</v>
      </c>
      <c r="C13" t="s">
        <v>76</v>
      </c>
    </row>
    <row r="14" spans="1:6">
      <c r="A14" t="s">
        <v>137</v>
      </c>
      <c r="B14">
        <v>0.51</v>
      </c>
      <c r="C14" t="s">
        <v>76</v>
      </c>
    </row>
    <row r="17" spans="1:9" ht="20.25" thickBot="1">
      <c r="A17" s="1" t="s">
        <v>138</v>
      </c>
    </row>
    <row r="18" spans="1:9" ht="13.5" thickTop="1">
      <c r="A18" t="s">
        <v>139</v>
      </c>
    </row>
    <row r="19" spans="1:9" ht="26.25" customHeight="1">
      <c r="C19" s="52" t="s">
        <v>140</v>
      </c>
      <c r="D19" s="52"/>
      <c r="E19" s="52"/>
      <c r="F19" s="52"/>
    </row>
    <row r="20" spans="1:9">
      <c r="A20" s="2" t="s">
        <v>141</v>
      </c>
      <c r="B20" s="2" t="s">
        <v>142</v>
      </c>
      <c r="C20" s="2" t="s">
        <v>143</v>
      </c>
      <c r="D20" s="2" t="s">
        <v>144</v>
      </c>
      <c r="E20" s="2" t="s">
        <v>145</v>
      </c>
      <c r="F20" s="2" t="s">
        <v>146</v>
      </c>
      <c r="G20" s="2" t="s">
        <v>1</v>
      </c>
      <c r="H20" s="2" t="s">
        <v>147</v>
      </c>
      <c r="I20" s="2" t="s">
        <v>123</v>
      </c>
    </row>
    <row r="21" spans="1:9">
      <c r="A21" t="str">
        <f>EF.table.combust[[#This Row],[Item]]&amp;": "&amp;EF.table.combust[[#This Row],[Fuel]]</f>
        <v>1: Bituminous coal</v>
      </c>
      <c r="B21" t="s">
        <v>148</v>
      </c>
      <c r="C21">
        <v>27</v>
      </c>
      <c r="D21">
        <v>90</v>
      </c>
      <c r="E21">
        <v>0.04</v>
      </c>
      <c r="F21">
        <v>0.2</v>
      </c>
      <c r="G21" t="s">
        <v>149</v>
      </c>
      <c r="H21" t="s">
        <v>150</v>
      </c>
      <c r="I21" s="5">
        <v>1</v>
      </c>
    </row>
    <row r="22" spans="1:9">
      <c r="A22" t="str">
        <f>EF.table.combust[[#This Row],[Item]]&amp;": "&amp;EF.table.combust[[#This Row],[Fuel]]</f>
        <v>1A: Sub-bituminous coal</v>
      </c>
      <c r="B22" t="s">
        <v>151</v>
      </c>
      <c r="C22">
        <v>21</v>
      </c>
      <c r="D22">
        <v>90</v>
      </c>
      <c r="E22">
        <v>0.04</v>
      </c>
      <c r="F22">
        <v>0.2</v>
      </c>
      <c r="G22" t="s">
        <v>149</v>
      </c>
      <c r="H22" t="s">
        <v>150</v>
      </c>
      <c r="I22" s="5" t="s">
        <v>152</v>
      </c>
    </row>
    <row r="23" spans="1:9">
      <c r="A23" t="str">
        <f>EF.table.combust[[#This Row],[Item]]&amp;": "&amp;EF.table.combust[[#This Row],[Fuel]]</f>
        <v>1B: Anthracite</v>
      </c>
      <c r="B23" t="s">
        <v>153</v>
      </c>
      <c r="C23">
        <v>29</v>
      </c>
      <c r="D23">
        <v>90</v>
      </c>
      <c r="E23">
        <v>0.04</v>
      </c>
      <c r="F23">
        <v>0.2</v>
      </c>
      <c r="G23" t="s">
        <v>149</v>
      </c>
      <c r="H23" t="s">
        <v>150</v>
      </c>
      <c r="I23" s="5" t="s">
        <v>154</v>
      </c>
    </row>
    <row r="24" spans="1:9">
      <c r="A24" t="str">
        <f>EF.table.combust[[#This Row],[Item]]&amp;": "&amp;EF.table.combust[[#This Row],[Fuel]]</f>
        <v>2: Brown coal</v>
      </c>
      <c r="B24" t="s">
        <v>155</v>
      </c>
      <c r="C24">
        <v>10.199999999999999</v>
      </c>
      <c r="D24">
        <v>93.5</v>
      </c>
      <c r="E24">
        <v>0.02</v>
      </c>
      <c r="F24">
        <v>0.3</v>
      </c>
      <c r="G24" t="s">
        <v>149</v>
      </c>
      <c r="H24" t="s">
        <v>150</v>
      </c>
      <c r="I24" s="5">
        <v>2</v>
      </c>
    </row>
    <row r="25" spans="1:9">
      <c r="A25" t="str">
        <f>EF.table.combust[[#This Row],[Item]]&amp;": "&amp;EF.table.combust[[#This Row],[Fuel]]</f>
        <v>3: Coking coal</v>
      </c>
      <c r="B25" t="s">
        <v>156</v>
      </c>
      <c r="C25">
        <v>30</v>
      </c>
      <c r="D25">
        <v>91.8</v>
      </c>
      <c r="E25">
        <v>0.03</v>
      </c>
      <c r="F25">
        <v>0.2</v>
      </c>
      <c r="G25" t="s">
        <v>149</v>
      </c>
      <c r="H25" t="s">
        <v>150</v>
      </c>
      <c r="I25" s="5">
        <v>3</v>
      </c>
    </row>
    <row r="26" spans="1:9">
      <c r="A26" t="str">
        <f>EF.table.combust[[#This Row],[Item]]&amp;": "&amp;EF.table.combust[[#This Row],[Fuel]]</f>
        <v>4: Coal briquettes</v>
      </c>
      <c r="B26" t="s">
        <v>157</v>
      </c>
      <c r="C26">
        <v>22.1</v>
      </c>
      <c r="D26">
        <v>95</v>
      </c>
      <c r="E26">
        <v>0.08</v>
      </c>
      <c r="F26">
        <v>0.2</v>
      </c>
      <c r="G26" t="s">
        <v>149</v>
      </c>
      <c r="H26" t="s">
        <v>150</v>
      </c>
      <c r="I26" s="5">
        <v>4</v>
      </c>
    </row>
    <row r="27" spans="1:9">
      <c r="A27" t="str">
        <f>EF.table.combust[[#This Row],[Item]]&amp;": "&amp;EF.table.combust[[#This Row],[Fuel]]</f>
        <v>5: Coal coke</v>
      </c>
      <c r="B27" t="s">
        <v>158</v>
      </c>
      <c r="C27">
        <v>27</v>
      </c>
      <c r="D27">
        <v>107</v>
      </c>
      <c r="E27">
        <v>0.03</v>
      </c>
      <c r="F27">
        <v>0.2</v>
      </c>
      <c r="G27" t="s">
        <v>149</v>
      </c>
      <c r="H27" t="s">
        <v>150</v>
      </c>
      <c r="I27" s="5">
        <v>5</v>
      </c>
    </row>
    <row r="28" spans="1:9">
      <c r="A28" t="str">
        <f>EF.table.combust[[#This Row],[Item]]&amp;": "&amp;EF.table.combust[[#This Row],[Fuel]]</f>
        <v>6: Coal tar</v>
      </c>
      <c r="B28" t="s">
        <v>159</v>
      </c>
      <c r="C28">
        <v>37.5</v>
      </c>
      <c r="D28">
        <v>81.8</v>
      </c>
      <c r="E28">
        <v>0.03</v>
      </c>
      <c r="F28">
        <v>0.2</v>
      </c>
      <c r="G28" t="s">
        <v>149</v>
      </c>
      <c r="H28" t="s">
        <v>150</v>
      </c>
      <c r="I28" s="5">
        <v>6</v>
      </c>
    </row>
    <row r="29" spans="1:9">
      <c r="A29" t="str">
        <f>EF.table.combust[[#This Row],[Item]]&amp;": "&amp;EF.table.combust[[#This Row],[Fuel]]</f>
        <v>7: Solid fossil fuels other than those mentioned in items 1 to 5</v>
      </c>
      <c r="B29" t="s">
        <v>160</v>
      </c>
      <c r="C29">
        <v>22.1</v>
      </c>
      <c r="D29">
        <v>95</v>
      </c>
      <c r="E29">
        <v>0.08</v>
      </c>
      <c r="F29">
        <v>0.2</v>
      </c>
      <c r="G29" t="s">
        <v>149</v>
      </c>
      <c r="H29" t="s">
        <v>150</v>
      </c>
      <c r="I29" s="5">
        <v>7</v>
      </c>
    </row>
    <row r="30" spans="1:9">
      <c r="A30" t="str">
        <f>EF.table.combust[[#This Row],[Item]]&amp;": "&amp;EF.table.combust[[#This Row],[Fuel]]</f>
        <v>8: Industrial materials that are derived from fossil fuels, if recycled and combusted to produce heat or electricity</v>
      </c>
      <c r="B30" t="s">
        <v>161</v>
      </c>
      <c r="C30">
        <v>26.3</v>
      </c>
      <c r="D30">
        <v>81.599999999999994</v>
      </c>
      <c r="E30">
        <v>0.03</v>
      </c>
      <c r="F30">
        <v>0.2</v>
      </c>
      <c r="G30" t="s">
        <v>149</v>
      </c>
      <c r="H30" t="s">
        <v>150</v>
      </c>
      <c r="I30" s="5">
        <v>8</v>
      </c>
    </row>
    <row r="31" spans="1:9">
      <c r="A31" t="str">
        <f>EF.table.combust[[#This Row],[Item]]&amp;": "&amp;EF.table.combust[[#This Row],[Fuel]]</f>
        <v>8A: Passenger car tyres, if recycled and combusted to produce heat or electricity</v>
      </c>
      <c r="B31" t="s">
        <v>162</v>
      </c>
      <c r="C31">
        <v>32</v>
      </c>
      <c r="D31">
        <v>62.8</v>
      </c>
      <c r="E31">
        <v>0.03</v>
      </c>
      <c r="F31">
        <v>0.2</v>
      </c>
      <c r="G31" t="s">
        <v>149</v>
      </c>
      <c r="H31" t="s">
        <v>150</v>
      </c>
      <c r="I31" s="5" t="s">
        <v>163</v>
      </c>
    </row>
    <row r="32" spans="1:9">
      <c r="A32" t="str">
        <f>EF.table.combust[[#This Row],[Item]]&amp;": "&amp;EF.table.combust[[#This Row],[Fuel]]</f>
        <v>8B: Truck and off-road tyres, if recycled and combusted to produce heat or electricity</v>
      </c>
      <c r="B32" t="s">
        <v>164</v>
      </c>
      <c r="C32">
        <v>27.1</v>
      </c>
      <c r="D32">
        <v>55.9</v>
      </c>
      <c r="E32">
        <v>0.03</v>
      </c>
      <c r="F32">
        <v>0.2</v>
      </c>
      <c r="G32" t="s">
        <v>149</v>
      </c>
      <c r="H32" t="s">
        <v>150</v>
      </c>
      <c r="I32" s="5" t="s">
        <v>165</v>
      </c>
    </row>
    <row r="33" spans="1:9">
      <c r="A33" t="str">
        <f>EF.table.combust[[#This Row],[Item]]&amp;": "&amp;EF.table.combust[[#This Row],[Fuel]]</f>
        <v>9: Non-biomass municipal materials, if recycled and combusted to produce heat or electricity</v>
      </c>
      <c r="B33" t="s">
        <v>166</v>
      </c>
      <c r="C33">
        <v>10.5</v>
      </c>
      <c r="D33">
        <v>87.1</v>
      </c>
      <c r="E33">
        <v>0.8</v>
      </c>
      <c r="F33">
        <v>1</v>
      </c>
      <c r="G33" t="s">
        <v>149</v>
      </c>
      <c r="H33" t="s">
        <v>150</v>
      </c>
      <c r="I33" s="5">
        <v>9</v>
      </c>
    </row>
    <row r="34" spans="1:9">
      <c r="A34" t="str">
        <f>EF.table.combust[[#This Row],[Item]]&amp;": "&amp;EF.table.combust[[#This Row],[Fuel]]</f>
        <v>10: Dry wood</v>
      </c>
      <c r="B34" t="s">
        <v>167</v>
      </c>
      <c r="C34">
        <v>16.2</v>
      </c>
      <c r="D34">
        <v>0</v>
      </c>
      <c r="E34">
        <v>0.1</v>
      </c>
      <c r="F34">
        <v>1.1000000000000001</v>
      </c>
      <c r="G34" t="s">
        <v>149</v>
      </c>
      <c r="H34" t="s">
        <v>150</v>
      </c>
      <c r="I34" s="5">
        <v>10</v>
      </c>
    </row>
    <row r="35" spans="1:9">
      <c r="A35" t="str">
        <f>EF.table.combust[[#This Row],[Item]]&amp;": "&amp;EF.table.combust[[#This Row],[Fuel]]</f>
        <v>11: Green and air dried wood</v>
      </c>
      <c r="B35" t="s">
        <v>168</v>
      </c>
      <c r="C35">
        <v>10.4</v>
      </c>
      <c r="D35">
        <v>0</v>
      </c>
      <c r="E35">
        <v>0.1</v>
      </c>
      <c r="F35">
        <v>1.1000000000000001</v>
      </c>
      <c r="G35" t="s">
        <v>149</v>
      </c>
      <c r="H35" t="s">
        <v>150</v>
      </c>
      <c r="I35" s="5">
        <v>11</v>
      </c>
    </row>
    <row r="36" spans="1:9">
      <c r="A36" t="str">
        <f>EF.table.combust[[#This Row],[Item]]&amp;": "&amp;EF.table.combust[[#This Row],[Fuel]]</f>
        <v>12: Sulphite lyes</v>
      </c>
      <c r="B36" t="s">
        <v>169</v>
      </c>
      <c r="C36">
        <v>12.4</v>
      </c>
      <c r="D36">
        <v>0</v>
      </c>
      <c r="E36">
        <v>0.08</v>
      </c>
      <c r="F36">
        <v>0.5</v>
      </c>
      <c r="G36" t="s">
        <v>149</v>
      </c>
      <c r="H36" t="s">
        <v>150</v>
      </c>
      <c r="I36" s="5">
        <v>12</v>
      </c>
    </row>
    <row r="37" spans="1:9">
      <c r="A37" t="str">
        <f>EF.table.combust[[#This Row],[Item]]&amp;": "&amp;EF.table.combust[[#This Row],[Fuel]]</f>
        <v>13: Bagasse</v>
      </c>
      <c r="B37" t="s">
        <v>170</v>
      </c>
      <c r="C37">
        <v>9.6</v>
      </c>
      <c r="D37">
        <v>0</v>
      </c>
      <c r="E37">
        <v>0.3</v>
      </c>
      <c r="F37">
        <v>1.1000000000000001</v>
      </c>
      <c r="G37" t="s">
        <v>149</v>
      </c>
      <c r="H37" t="s">
        <v>150</v>
      </c>
      <c r="I37" s="5">
        <v>13</v>
      </c>
    </row>
    <row r="38" spans="1:9">
      <c r="A38" t="str">
        <f>EF.table.combust[[#This Row],[Item]]&amp;": "&amp;EF.table.combust[[#This Row],[Fuel]]</f>
        <v>14: Biomass municipal and industrial materials, if recycled and combusted to produce heat or electricity</v>
      </c>
      <c r="B38" t="s">
        <v>171</v>
      </c>
      <c r="C38">
        <v>12.2</v>
      </c>
      <c r="D38">
        <v>0</v>
      </c>
      <c r="E38">
        <v>0.8</v>
      </c>
      <c r="F38">
        <v>1</v>
      </c>
      <c r="G38" t="s">
        <v>149</v>
      </c>
      <c r="H38" t="s">
        <v>150</v>
      </c>
      <c r="I38" s="5">
        <v>14</v>
      </c>
    </row>
    <row r="39" spans="1:9">
      <c r="A39" t="str">
        <f>EF.table.combust[[#This Row],[Item]]&amp;": "&amp;EF.table.combust[[#This Row],[Fuel]]</f>
        <v>15: Charcoal</v>
      </c>
      <c r="B39" t="s">
        <v>172</v>
      </c>
      <c r="C39">
        <v>31.1</v>
      </c>
      <c r="D39">
        <v>0</v>
      </c>
      <c r="E39">
        <v>5.3</v>
      </c>
      <c r="F39">
        <v>1</v>
      </c>
      <c r="G39" t="s">
        <v>149</v>
      </c>
      <c r="H39" t="s">
        <v>150</v>
      </c>
      <c r="I39" s="5">
        <v>15</v>
      </c>
    </row>
    <row r="40" spans="1:9">
      <c r="A40" t="str">
        <f>EF.table.combust[[#This Row],[Item]]&amp;": "&amp;EF.table.combust[[#This Row],[Fuel]]</f>
        <v>16: Primary solid biomass fuels other than those mentioned in items 10 to 15</v>
      </c>
      <c r="B40" t="s">
        <v>173</v>
      </c>
      <c r="C40">
        <v>12.2</v>
      </c>
      <c r="D40">
        <v>0</v>
      </c>
      <c r="E40">
        <v>0.8</v>
      </c>
      <c r="F40">
        <v>1</v>
      </c>
      <c r="G40" t="s">
        <v>149</v>
      </c>
      <c r="H40" t="s">
        <v>150</v>
      </c>
      <c r="I40" s="5">
        <v>16</v>
      </c>
    </row>
    <row r="41" spans="1:9">
      <c r="A41" t="str">
        <f>EF.table.combust[[#This Row],[Item]]&amp;": "&amp;EF.table.combust[[#This Row],[Fuel]]</f>
        <v xml:space="preserve">17: Natural gas distributed in a pipeline </v>
      </c>
      <c r="B41" t="s">
        <v>174</v>
      </c>
      <c r="C41" s="7">
        <v>3.9300000000000002E-2</v>
      </c>
      <c r="D41">
        <v>51.4</v>
      </c>
      <c r="E41">
        <v>0.1</v>
      </c>
      <c r="F41">
        <v>0.03</v>
      </c>
      <c r="G41" t="s">
        <v>175</v>
      </c>
      <c r="H41" t="s">
        <v>176</v>
      </c>
      <c r="I41" s="5">
        <v>17</v>
      </c>
    </row>
    <row r="42" spans="1:9">
      <c r="A42" t="str">
        <f>EF.table.combust[[#This Row],[Item]]&amp;": "&amp;EF.table.combust[[#This Row],[Fuel]]</f>
        <v xml:space="preserve">18: Coal seam methane that is captured for combustion </v>
      </c>
      <c r="B42" t="s">
        <v>177</v>
      </c>
      <c r="C42" s="7">
        <v>3.7699999999999997E-2</v>
      </c>
      <c r="D42">
        <v>51.4</v>
      </c>
      <c r="E42">
        <v>0.2</v>
      </c>
      <c r="F42">
        <v>0.03</v>
      </c>
      <c r="G42" t="s">
        <v>175</v>
      </c>
      <c r="H42" t="s">
        <v>176</v>
      </c>
      <c r="I42" s="5">
        <v>18</v>
      </c>
    </row>
    <row r="43" spans="1:9">
      <c r="A43" t="str">
        <f>EF.table.combust[[#This Row],[Item]]&amp;": "&amp;EF.table.combust[[#This Row],[Fuel]]</f>
        <v xml:space="preserve">19: Coal mine waste gas that is captured for combustion </v>
      </c>
      <c r="B43" t="s">
        <v>178</v>
      </c>
      <c r="C43" s="7">
        <v>3.7699999999999997E-2</v>
      </c>
      <c r="D43">
        <v>51.9</v>
      </c>
      <c r="E43">
        <v>4.5999999999999996</v>
      </c>
      <c r="F43">
        <v>0.3</v>
      </c>
      <c r="G43" t="s">
        <v>175</v>
      </c>
      <c r="H43" t="s">
        <v>176</v>
      </c>
      <c r="I43" s="5">
        <v>19</v>
      </c>
    </row>
    <row r="44" spans="1:9">
      <c r="A44" t="str">
        <f>EF.table.combust[[#This Row],[Item]]&amp;": "&amp;EF.table.combust[[#This Row],[Fuel]]</f>
        <v xml:space="preserve">20: Compressed natural gas that has reverted to standard conditions </v>
      </c>
      <c r="B44" t="s">
        <v>179</v>
      </c>
      <c r="C44" s="7">
        <v>3.9300000000000002E-2</v>
      </c>
      <c r="D44">
        <v>51.4</v>
      </c>
      <c r="E44">
        <v>0.1</v>
      </c>
      <c r="F44">
        <v>0.03</v>
      </c>
      <c r="G44" t="s">
        <v>175</v>
      </c>
      <c r="H44" t="s">
        <v>176</v>
      </c>
      <c r="I44" s="5">
        <v>20</v>
      </c>
    </row>
    <row r="45" spans="1:9">
      <c r="A45" t="str">
        <f>EF.table.combust[[#This Row],[Item]]&amp;": "&amp;EF.table.combust[[#This Row],[Fuel]]</f>
        <v xml:space="preserve">21: Unprocessed natural gas </v>
      </c>
      <c r="B45" t="s">
        <v>180</v>
      </c>
      <c r="C45" s="7">
        <v>3.9300000000000002E-2</v>
      </c>
      <c r="D45">
        <v>51.4</v>
      </c>
      <c r="E45">
        <v>0.1</v>
      </c>
      <c r="F45">
        <v>0.03</v>
      </c>
      <c r="G45" t="s">
        <v>175</v>
      </c>
      <c r="H45" t="s">
        <v>176</v>
      </c>
      <c r="I45" s="5">
        <v>21</v>
      </c>
    </row>
    <row r="46" spans="1:9">
      <c r="A46" t="str">
        <f>EF.table.combust[[#This Row],[Item]]&amp;": "&amp;EF.table.combust[[#This Row],[Fuel]]</f>
        <v xml:space="preserve">22: Ethane </v>
      </c>
      <c r="B46" t="s">
        <v>181</v>
      </c>
      <c r="C46" s="7">
        <v>6.2899999999999998E-2</v>
      </c>
      <c r="D46">
        <v>56.5</v>
      </c>
      <c r="E46">
        <v>0.03</v>
      </c>
      <c r="F46">
        <v>0.03</v>
      </c>
      <c r="G46" t="s">
        <v>175</v>
      </c>
      <c r="H46" t="s">
        <v>176</v>
      </c>
      <c r="I46" s="5">
        <v>22</v>
      </c>
    </row>
    <row r="47" spans="1:9">
      <c r="A47" t="str">
        <f>EF.table.combust[[#This Row],[Item]]&amp;": "&amp;EF.table.combust[[#This Row],[Fuel]]</f>
        <v xml:space="preserve">23: Coke oven gas </v>
      </c>
      <c r="B47" t="s">
        <v>182</v>
      </c>
      <c r="C47" s="7">
        <v>1.8100000000000002E-2</v>
      </c>
      <c r="D47">
        <v>37</v>
      </c>
      <c r="E47">
        <v>0.03</v>
      </c>
      <c r="F47">
        <v>0.05</v>
      </c>
      <c r="G47" t="s">
        <v>175</v>
      </c>
      <c r="H47" t="s">
        <v>176</v>
      </c>
      <c r="I47" s="5">
        <v>23</v>
      </c>
    </row>
    <row r="48" spans="1:9">
      <c r="A48" t="str">
        <f>EF.table.combust[[#This Row],[Item]]&amp;": "&amp;EF.table.combust[[#This Row],[Fuel]]</f>
        <v xml:space="preserve">24: Blast furnace gas </v>
      </c>
      <c r="B48" t="s">
        <v>183</v>
      </c>
      <c r="C48" s="7">
        <v>4.0000000000000001E-3</v>
      </c>
      <c r="D48">
        <v>234</v>
      </c>
      <c r="E48">
        <v>0.03</v>
      </c>
      <c r="F48">
        <v>0.02</v>
      </c>
      <c r="G48" t="s">
        <v>175</v>
      </c>
      <c r="H48" t="s">
        <v>176</v>
      </c>
      <c r="I48" s="5">
        <v>24</v>
      </c>
    </row>
    <row r="49" spans="1:9">
      <c r="A49" t="str">
        <f>EF.table.combust[[#This Row],[Item]]&amp;": "&amp;EF.table.combust[[#This Row],[Fuel]]</f>
        <v xml:space="preserve">25: Town gas </v>
      </c>
      <c r="B49" t="s">
        <v>184</v>
      </c>
      <c r="C49" s="7">
        <v>3.9300000000000002E-2</v>
      </c>
      <c r="D49">
        <v>60.2</v>
      </c>
      <c r="E49">
        <v>0.04</v>
      </c>
      <c r="F49">
        <v>0.03</v>
      </c>
      <c r="G49" t="s">
        <v>175</v>
      </c>
      <c r="H49" t="s">
        <v>176</v>
      </c>
      <c r="I49" s="5">
        <v>25</v>
      </c>
    </row>
    <row r="50" spans="1:9">
      <c r="A50" t="str">
        <f>EF.table.combust[[#This Row],[Item]]&amp;": "&amp;EF.table.combust[[#This Row],[Fuel]]</f>
        <v xml:space="preserve">26: Liquefied natural gas </v>
      </c>
      <c r="B50" t="s">
        <v>185</v>
      </c>
      <c r="C50">
        <v>25.3</v>
      </c>
      <c r="D50">
        <v>51.4</v>
      </c>
      <c r="E50">
        <v>0.1</v>
      </c>
      <c r="F50">
        <v>0.03</v>
      </c>
      <c r="G50" t="s">
        <v>186</v>
      </c>
      <c r="H50" t="s">
        <v>176</v>
      </c>
      <c r="I50" s="5">
        <v>26</v>
      </c>
    </row>
    <row r="51" spans="1:9">
      <c r="A51" t="str">
        <f>EF.table.combust[[#This Row],[Item]]&amp;": "&amp;EF.table.combust[[#This Row],[Fuel]]</f>
        <v>27: Gaseous fossil fuels other than those mentioned in items 17 to 26</v>
      </c>
      <c r="B51" t="s">
        <v>187</v>
      </c>
      <c r="C51" s="7">
        <v>3.9300000000000002E-2</v>
      </c>
      <c r="D51">
        <v>51.4</v>
      </c>
      <c r="E51">
        <v>0.1</v>
      </c>
      <c r="F51">
        <v>0.03</v>
      </c>
      <c r="G51" t="s">
        <v>175</v>
      </c>
      <c r="H51" t="s">
        <v>176</v>
      </c>
      <c r="I51" s="5">
        <v>27</v>
      </c>
    </row>
    <row r="52" spans="1:9">
      <c r="A52" t="str">
        <f>EF.table.combust[[#This Row],[Item]]&amp;": "&amp;EF.table.combust[[#This Row],[Fuel]]</f>
        <v xml:space="preserve">28: Landfill biogas that is captured for combustion (methane only) </v>
      </c>
      <c r="B52" t="s">
        <v>188</v>
      </c>
      <c r="C52" s="7">
        <v>3.7699999999999997E-2</v>
      </c>
      <c r="D52">
        <v>0</v>
      </c>
      <c r="E52">
        <v>6.4</v>
      </c>
      <c r="F52">
        <v>0.03</v>
      </c>
      <c r="G52" t="s">
        <v>175</v>
      </c>
      <c r="H52" t="s">
        <v>176</v>
      </c>
      <c r="I52" s="5">
        <v>28</v>
      </c>
    </row>
    <row r="53" spans="1:9">
      <c r="A53" t="str">
        <f>EF.table.combust[[#This Row],[Item]]&amp;": "&amp;EF.table.combust[[#This Row],[Fuel]]</f>
        <v xml:space="preserve">29: Sludge biogas that is captured for combustion (methane only) </v>
      </c>
      <c r="B53" t="s">
        <v>189</v>
      </c>
      <c r="C53" s="7">
        <v>3.7699999999999997E-2</v>
      </c>
      <c r="D53">
        <v>0</v>
      </c>
      <c r="E53">
        <v>6.4</v>
      </c>
      <c r="F53">
        <v>0.03</v>
      </c>
      <c r="G53" t="s">
        <v>175</v>
      </c>
      <c r="H53" t="s">
        <v>176</v>
      </c>
      <c r="I53" s="5">
        <v>29</v>
      </c>
    </row>
    <row r="54" spans="1:9">
      <c r="A54" t="str">
        <f>EF.table.combust[[#This Row],[Item]]&amp;": "&amp;EF.table.combust[[#This Row],[Fuel]]</f>
        <v xml:space="preserve">29A: Biomethane </v>
      </c>
      <c r="B54" t="s">
        <v>190</v>
      </c>
      <c r="C54" s="7">
        <v>3.9300000000000002E-2</v>
      </c>
      <c r="D54">
        <v>0</v>
      </c>
      <c r="E54">
        <v>0.1</v>
      </c>
      <c r="F54">
        <v>0.03</v>
      </c>
      <c r="G54" t="s">
        <v>175</v>
      </c>
      <c r="H54" t="s">
        <v>176</v>
      </c>
      <c r="I54" s="5" t="s">
        <v>191</v>
      </c>
    </row>
    <row r="55" spans="1:9">
      <c r="A55" s="30" t="str">
        <f>EF.table.combust[[#This Row],[Item]]&amp;": "&amp;EF.table.combust[[#This Row],[Fuel]]</f>
        <v>30: A biogas that is captured for combustion, other than those mentioned in items 28, 29 and 29A 
(methane only)</v>
      </c>
      <c r="B55" s="30" t="s">
        <v>192</v>
      </c>
      <c r="C55" s="31">
        <v>3.7699999999999997E-2</v>
      </c>
      <c r="D55" s="30">
        <v>0</v>
      </c>
      <c r="E55" s="30">
        <v>6.4</v>
      </c>
      <c r="F55" s="30">
        <v>0.03</v>
      </c>
      <c r="G55" s="30" t="s">
        <v>175</v>
      </c>
      <c r="H55" s="30" t="s">
        <v>176</v>
      </c>
      <c r="I55" s="32">
        <v>30</v>
      </c>
    </row>
    <row r="56" spans="1:9">
      <c r="A56" t="str">
        <f>EF.table.combust[[#This Row],[Item]]&amp;": "&amp;EF.table.combust[[#This Row],[Fuel]]</f>
        <v xml:space="preserve">31: Petroleum based oils (other than petroleum based oil used as fuel) </v>
      </c>
      <c r="B56" t="s">
        <v>193</v>
      </c>
      <c r="C56">
        <v>38.799999999999997</v>
      </c>
      <c r="D56">
        <v>13.9</v>
      </c>
      <c r="E56">
        <v>0</v>
      </c>
      <c r="F56">
        <v>0</v>
      </c>
      <c r="G56" t="s">
        <v>186</v>
      </c>
      <c r="H56" t="s">
        <v>194</v>
      </c>
      <c r="I56" s="5">
        <v>31</v>
      </c>
    </row>
    <row r="57" spans="1:9">
      <c r="A57" t="str">
        <f>EF.table.combust[[#This Row],[Item]]&amp;": "&amp;EF.table.combust[[#This Row],[Fuel]]</f>
        <v xml:space="preserve">32: Petroleum based greases </v>
      </c>
      <c r="B57" t="s">
        <v>195</v>
      </c>
      <c r="C57">
        <v>38.799999999999997</v>
      </c>
      <c r="D57">
        <v>3.5</v>
      </c>
      <c r="E57">
        <v>0</v>
      </c>
      <c r="F57">
        <v>0</v>
      </c>
      <c r="G57" t="s">
        <v>186</v>
      </c>
      <c r="H57" t="s">
        <v>194</v>
      </c>
      <c r="I57" s="5">
        <v>32</v>
      </c>
    </row>
    <row r="58" spans="1:9">
      <c r="A58" t="str">
        <f>EF.table.combust[[#This Row],[Item]]&amp;": "&amp;EF.table.combust[[#This Row],[Fuel]]</f>
        <v xml:space="preserve">33: Crude oil </v>
      </c>
      <c r="B58" t="s">
        <v>196</v>
      </c>
      <c r="C58">
        <v>45.3</v>
      </c>
      <c r="D58">
        <v>69.599999999999994</v>
      </c>
      <c r="E58">
        <v>0.08</v>
      </c>
      <c r="F58">
        <v>0.2</v>
      </c>
      <c r="G58" t="s">
        <v>149</v>
      </c>
      <c r="H58" t="s">
        <v>194</v>
      </c>
      <c r="I58" s="5">
        <v>33</v>
      </c>
    </row>
    <row r="59" spans="1:9">
      <c r="A59" t="str">
        <f>EF.table.combust[[#This Row],[Item]]&amp;": "&amp;EF.table.combust[[#This Row],[Fuel]]</f>
        <v xml:space="preserve">34: Plant condensate and other natural gas liquids not covered by another item in this table </v>
      </c>
      <c r="B59" t="s">
        <v>197</v>
      </c>
      <c r="C59">
        <v>46.5</v>
      </c>
      <c r="D59">
        <v>61</v>
      </c>
      <c r="E59">
        <v>0.08</v>
      </c>
      <c r="F59">
        <v>0.2</v>
      </c>
      <c r="G59" t="s">
        <v>149</v>
      </c>
      <c r="H59" t="s">
        <v>194</v>
      </c>
      <c r="I59" s="5">
        <v>34</v>
      </c>
    </row>
    <row r="60" spans="1:9">
      <c r="A60" t="str">
        <f>EF.table.combust[[#This Row],[Item]]&amp;": "&amp;EF.table.combust[[#This Row],[Fuel]]</f>
        <v xml:space="preserve">35: Gasoline (other than for use as fuel in an aircraft) </v>
      </c>
      <c r="B60" t="s">
        <v>198</v>
      </c>
      <c r="C60">
        <v>34.200000000000003</v>
      </c>
      <c r="D60">
        <v>67.400000000000006</v>
      </c>
      <c r="E60">
        <v>0.2</v>
      </c>
      <c r="F60">
        <v>0.2</v>
      </c>
      <c r="G60" t="s">
        <v>186</v>
      </c>
      <c r="H60" t="s">
        <v>194</v>
      </c>
      <c r="I60" s="5">
        <v>35</v>
      </c>
    </row>
    <row r="61" spans="1:9">
      <c r="A61" t="str">
        <f>EF.table.combust[[#This Row],[Item]]&amp;": "&amp;EF.table.combust[[#This Row],[Fuel]]</f>
        <v xml:space="preserve">36: Gasoline for use as fuel in an aircraft </v>
      </c>
      <c r="B61" t="s">
        <v>199</v>
      </c>
      <c r="C61">
        <v>33.1</v>
      </c>
      <c r="D61">
        <v>67</v>
      </c>
      <c r="E61">
        <v>0.2</v>
      </c>
      <c r="F61">
        <v>0.2</v>
      </c>
      <c r="G61" t="s">
        <v>186</v>
      </c>
      <c r="H61" t="s">
        <v>194</v>
      </c>
      <c r="I61" s="5">
        <v>36</v>
      </c>
    </row>
    <row r="62" spans="1:9">
      <c r="A62" t="str">
        <f>EF.table.combust[[#This Row],[Item]]&amp;": "&amp;EF.table.combust[[#This Row],[Fuel]]</f>
        <v xml:space="preserve">37: Kerosene (other than for use as fuel in an aircraft) </v>
      </c>
      <c r="B62" t="s">
        <v>200</v>
      </c>
      <c r="C62">
        <v>37.5</v>
      </c>
      <c r="D62">
        <v>68.900000000000006</v>
      </c>
      <c r="E62">
        <v>0.01</v>
      </c>
      <c r="F62">
        <v>0.2</v>
      </c>
      <c r="G62" t="s">
        <v>186</v>
      </c>
      <c r="H62" t="s">
        <v>194</v>
      </c>
      <c r="I62" s="5">
        <v>37</v>
      </c>
    </row>
    <row r="63" spans="1:9">
      <c r="A63" t="str">
        <f>EF.table.combust[[#This Row],[Item]]&amp;": "&amp;EF.table.combust[[#This Row],[Fuel]]</f>
        <v xml:space="preserve">38: Kerosene for use as fuel in an aircraft </v>
      </c>
      <c r="B63" t="s">
        <v>201</v>
      </c>
      <c r="C63">
        <v>36.799999999999997</v>
      </c>
      <c r="D63">
        <v>69.599999999999994</v>
      </c>
      <c r="E63">
        <v>0.02</v>
      </c>
      <c r="F63">
        <v>0.2</v>
      </c>
      <c r="G63" t="s">
        <v>186</v>
      </c>
      <c r="H63" t="s">
        <v>194</v>
      </c>
      <c r="I63" s="5">
        <v>38</v>
      </c>
    </row>
    <row r="64" spans="1:9">
      <c r="A64" t="str">
        <f>EF.table.combust[[#This Row],[Item]]&amp;": "&amp;EF.table.combust[[#This Row],[Fuel]]</f>
        <v xml:space="preserve">39: Heating oil </v>
      </c>
      <c r="B64" t="s">
        <v>202</v>
      </c>
      <c r="C64">
        <v>37.299999999999997</v>
      </c>
      <c r="D64">
        <v>69.5</v>
      </c>
      <c r="E64">
        <v>0.03</v>
      </c>
      <c r="F64">
        <v>0.2</v>
      </c>
      <c r="G64" t="s">
        <v>186</v>
      </c>
      <c r="H64" t="s">
        <v>194</v>
      </c>
      <c r="I64" s="5">
        <v>39</v>
      </c>
    </row>
    <row r="65" spans="1:9">
      <c r="A65" t="str">
        <f>EF.table.combust[[#This Row],[Item]]&amp;": "&amp;EF.table.combust[[#This Row],[Fuel]]</f>
        <v xml:space="preserve">40: Diesel oil </v>
      </c>
      <c r="B65" t="s">
        <v>203</v>
      </c>
      <c r="C65">
        <v>38.6</v>
      </c>
      <c r="D65">
        <v>69.900000000000006</v>
      </c>
      <c r="E65">
        <v>0.1</v>
      </c>
      <c r="F65">
        <v>0.2</v>
      </c>
      <c r="G65" t="s">
        <v>186</v>
      </c>
      <c r="H65" t="s">
        <v>194</v>
      </c>
      <c r="I65" s="5">
        <v>40</v>
      </c>
    </row>
    <row r="66" spans="1:9">
      <c r="A66" t="str">
        <f>EF.table.combust[[#This Row],[Item]]&amp;": "&amp;EF.table.combust[[#This Row],[Fuel]]</f>
        <v xml:space="preserve">41: Fuel oil </v>
      </c>
      <c r="B66" t="s">
        <v>204</v>
      </c>
      <c r="C66">
        <v>39.700000000000003</v>
      </c>
      <c r="D66">
        <v>73.599999999999994</v>
      </c>
      <c r="E66">
        <v>0.04</v>
      </c>
      <c r="F66">
        <v>0.2</v>
      </c>
      <c r="G66" t="s">
        <v>186</v>
      </c>
      <c r="H66" t="s">
        <v>194</v>
      </c>
      <c r="I66" s="5">
        <v>41</v>
      </c>
    </row>
    <row r="67" spans="1:9">
      <c r="A67" t="str">
        <f>EF.table.combust[[#This Row],[Item]]&amp;": "&amp;EF.table.combust[[#This Row],[Fuel]]</f>
        <v xml:space="preserve">42: Liquefied aromatic hydrocarbons </v>
      </c>
      <c r="B67" t="s">
        <v>205</v>
      </c>
      <c r="C67">
        <v>34.4</v>
      </c>
      <c r="D67">
        <v>69.7</v>
      </c>
      <c r="E67">
        <v>0.03</v>
      </c>
      <c r="F67">
        <v>0.2</v>
      </c>
      <c r="G67" t="s">
        <v>186</v>
      </c>
      <c r="H67" t="s">
        <v>194</v>
      </c>
      <c r="I67" s="5">
        <v>42</v>
      </c>
    </row>
    <row r="68" spans="1:9">
      <c r="A68" t="str">
        <f>EF.table.combust[[#This Row],[Item]]&amp;": "&amp;EF.table.combust[[#This Row],[Fuel]]</f>
        <v xml:space="preserve">43: Solvents if mineral turpentine or white spirits </v>
      </c>
      <c r="B68" t="s">
        <v>206</v>
      </c>
      <c r="C68">
        <v>34.4</v>
      </c>
      <c r="D68">
        <v>69.7</v>
      </c>
      <c r="E68">
        <v>0.03</v>
      </c>
      <c r="F68">
        <v>0.2</v>
      </c>
      <c r="G68" t="s">
        <v>186</v>
      </c>
      <c r="H68" t="s">
        <v>194</v>
      </c>
      <c r="I68" s="5">
        <v>43</v>
      </c>
    </row>
    <row r="69" spans="1:9">
      <c r="A69" t="str">
        <f>EF.table.combust[[#This Row],[Item]]&amp;": "&amp;EF.table.combust[[#This Row],[Fuel]]</f>
        <v xml:space="preserve">44: Liquefied petroleum gas </v>
      </c>
      <c r="B69" t="s">
        <v>207</v>
      </c>
      <c r="C69">
        <v>25.7</v>
      </c>
      <c r="D69">
        <v>60.2</v>
      </c>
      <c r="E69">
        <v>0.2</v>
      </c>
      <c r="F69">
        <v>0.2</v>
      </c>
      <c r="G69" t="s">
        <v>186</v>
      </c>
      <c r="H69" t="s">
        <v>194</v>
      </c>
      <c r="I69" s="5">
        <v>44</v>
      </c>
    </row>
    <row r="70" spans="1:9">
      <c r="A70" t="str">
        <f>EF.table.combust[[#This Row],[Item]]&amp;": "&amp;EF.table.combust[[#This Row],[Fuel]]</f>
        <v xml:space="preserve">45: Naphtha </v>
      </c>
      <c r="B70" t="s">
        <v>208</v>
      </c>
      <c r="C70">
        <v>31.4</v>
      </c>
      <c r="D70">
        <v>69.8</v>
      </c>
      <c r="E70">
        <v>0.01</v>
      </c>
      <c r="F70">
        <v>0.01</v>
      </c>
      <c r="G70" t="s">
        <v>186</v>
      </c>
      <c r="H70" t="s">
        <v>194</v>
      </c>
      <c r="I70" s="5">
        <v>45</v>
      </c>
    </row>
    <row r="71" spans="1:9">
      <c r="A71" t="str">
        <f>EF.table.combust[[#This Row],[Item]]&amp;": "&amp;EF.table.combust[[#This Row],[Fuel]]</f>
        <v xml:space="preserve">46: Petroleum coke </v>
      </c>
      <c r="B71" t="s">
        <v>209</v>
      </c>
      <c r="C71">
        <v>34.200000000000003</v>
      </c>
      <c r="D71">
        <v>92.6</v>
      </c>
      <c r="E71">
        <v>0.08</v>
      </c>
      <c r="F71">
        <v>0.2</v>
      </c>
      <c r="G71" t="s">
        <v>149</v>
      </c>
      <c r="H71" t="s">
        <v>194</v>
      </c>
      <c r="I71" s="5">
        <v>46</v>
      </c>
    </row>
    <row r="72" spans="1:9">
      <c r="A72" t="str">
        <f>EF.table.combust[[#This Row],[Item]]&amp;": "&amp;EF.table.combust[[#This Row],[Fuel]]</f>
        <v xml:space="preserve">47: Refinery gas and liquids </v>
      </c>
      <c r="B72" t="s">
        <v>210</v>
      </c>
      <c r="C72">
        <v>42.9</v>
      </c>
      <c r="D72">
        <v>54.7</v>
      </c>
      <c r="E72">
        <v>0.03</v>
      </c>
      <c r="F72">
        <v>0.03</v>
      </c>
      <c r="G72" t="s">
        <v>149</v>
      </c>
      <c r="H72" t="s">
        <v>194</v>
      </c>
      <c r="I72" s="5">
        <v>47</v>
      </c>
    </row>
    <row r="73" spans="1:9">
      <c r="A73" t="str">
        <f>EF.table.combust[[#This Row],[Item]]&amp;": "&amp;EF.table.combust[[#This Row],[Fuel]]</f>
        <v xml:space="preserve">48: Refinery coke </v>
      </c>
      <c r="B73" t="s">
        <v>211</v>
      </c>
      <c r="C73">
        <v>34.200000000000003</v>
      </c>
      <c r="D73">
        <v>92.6</v>
      </c>
      <c r="E73">
        <v>0.08</v>
      </c>
      <c r="F73">
        <v>0.2</v>
      </c>
      <c r="G73" t="s">
        <v>149</v>
      </c>
      <c r="H73" t="s">
        <v>194</v>
      </c>
      <c r="I73" s="5">
        <v>48</v>
      </c>
    </row>
    <row r="74" spans="1:9">
      <c r="A74" s="30" t="str">
        <f>EF.table.combust[[#This Row],[Item]]&amp;": "&amp;EF.table.combust[[#This Row],[Fuel]]</f>
        <v>49: Petroleum based products other than: 
(a) petroleum based oils and greases in 31 and 32; and (b) petroleum based products mentioned in 33 to 48</v>
      </c>
      <c r="B74" s="30" t="s">
        <v>212</v>
      </c>
      <c r="C74" s="30">
        <v>34.4</v>
      </c>
      <c r="D74" s="30">
        <v>69.8</v>
      </c>
      <c r="E74" s="30">
        <v>0.02</v>
      </c>
      <c r="F74" s="30">
        <v>0.1</v>
      </c>
      <c r="G74" s="30" t="s">
        <v>186</v>
      </c>
      <c r="H74" s="30" t="s">
        <v>194</v>
      </c>
      <c r="I74" s="32">
        <v>49</v>
      </c>
    </row>
    <row r="75" spans="1:9">
      <c r="A75" t="str">
        <f>EF.table.combust[[#This Row],[Item]]&amp;": "&amp;EF.table.combust[[#This Row],[Fuel]]</f>
        <v xml:space="preserve">50: Biodiesel </v>
      </c>
      <c r="B75" t="s">
        <v>213</v>
      </c>
      <c r="C75">
        <v>34.6</v>
      </c>
      <c r="D75">
        <v>0</v>
      </c>
      <c r="E75">
        <v>0.08</v>
      </c>
      <c r="F75">
        <v>0.2</v>
      </c>
      <c r="G75" t="s">
        <v>186</v>
      </c>
      <c r="H75" t="s">
        <v>194</v>
      </c>
      <c r="I75" s="5">
        <v>50</v>
      </c>
    </row>
    <row r="76" spans="1:9">
      <c r="A76" t="str">
        <f>EF.table.combust[[#This Row],[Item]]&amp;": "&amp;EF.table.combust[[#This Row],[Fuel]]</f>
        <v>50A: Renewable aviation kerosene</v>
      </c>
      <c r="B76" t="s">
        <v>214</v>
      </c>
      <c r="C76">
        <v>36.799999999999997</v>
      </c>
      <c r="D76">
        <v>0</v>
      </c>
      <c r="E76">
        <v>0.02</v>
      </c>
      <c r="F76">
        <v>0.2</v>
      </c>
      <c r="G76" t="s">
        <v>186</v>
      </c>
      <c r="H76" t="s">
        <v>194</v>
      </c>
      <c r="I76" s="5" t="s">
        <v>215</v>
      </c>
    </row>
  </sheetData>
  <mergeCells count="1">
    <mergeCell ref="C19:F19"/>
  </mergeCells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C4D8244A58C94DAE7F4C3116ECCA42" ma:contentTypeVersion="15" ma:contentTypeDescription="Create a new document." ma:contentTypeScope="" ma:versionID="d1706524ed1dacc705bf230b32357fc1">
  <xsd:schema xmlns:xsd="http://www.w3.org/2001/XMLSchema" xmlns:xs="http://www.w3.org/2001/XMLSchema" xmlns:p="http://schemas.microsoft.com/office/2006/metadata/properties" xmlns:ns2="f8065530-227a-40b8-9199-93b0a0a9a990" xmlns:ns3="03511e3a-bea0-48f5-96ba-bd7a27cbea56" targetNamespace="http://schemas.microsoft.com/office/2006/metadata/properties" ma:root="true" ma:fieldsID="f4ac1bf348b100d37a51fd94fd309219" ns2:_="" ns3:_="">
    <xsd:import namespace="f8065530-227a-40b8-9199-93b0a0a9a990"/>
    <xsd:import namespace="03511e3a-bea0-48f5-96ba-bd7a27cbea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65530-227a-40b8-9199-93b0a0a9a9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780ee08-4fae-410a-97bc-70b1e728bb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11e3a-bea0-48f5-96ba-bd7a27cbea5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9524366-d8c3-4d9f-bd82-fcba1619a030}" ma:internalName="TaxCatchAll" ma:showField="CatchAllData" ma:web="03511e3a-bea0-48f5-96ba-bd7a27cbea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065530-227a-40b8-9199-93b0a0a9a990">
      <Terms xmlns="http://schemas.microsoft.com/office/infopath/2007/PartnerControls"/>
    </lcf76f155ced4ddcb4097134ff3c332f>
    <TaxCatchAll xmlns="03511e3a-bea0-48f5-96ba-bd7a27cbea5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3ED801-BEC2-45B9-807C-2698F519678E}"/>
</file>

<file path=customXml/itemProps2.xml><?xml version="1.0" encoding="utf-8"?>
<ds:datastoreItem xmlns:ds="http://schemas.openxmlformats.org/officeDocument/2006/customXml" ds:itemID="{E38F2D60-1534-4F89-9E8D-C0E32CB19255}"/>
</file>

<file path=customXml/itemProps3.xml><?xml version="1.0" encoding="utf-8"?>
<ds:datastoreItem xmlns:ds="http://schemas.openxmlformats.org/officeDocument/2006/customXml" ds:itemID="{F9F3892F-BFCC-4705-8052-C65793CBDD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Airtech</dc:creator>
  <cp:keywords/>
  <dc:description/>
  <cp:lastModifiedBy>Matthew Deegan</cp:lastModifiedBy>
  <cp:revision/>
  <dcterms:created xsi:type="dcterms:W3CDTF">2015-05-22T14:19:49Z</dcterms:created>
  <dcterms:modified xsi:type="dcterms:W3CDTF">2024-10-08T05:57:40Z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0x010100CBC4D8244A58C94DAE7F4C3116ECCA42</vt:lpwstr>
  </property>
  <property fmtid="{D5CDD505-2E9C-101B-9397-08002B2CF9AE}" pid="3" name="MediaServiceImageTags">
    <vt:lpwstr/>
  </property>
</Properties>
</file>